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defaultThemeVersion="166925"/>
  <mc:AlternateContent xmlns:mc="http://schemas.openxmlformats.org/markup-compatibility/2006">
    <mc:Choice Requires="x15">
      <x15ac:absPath xmlns:x15ac="http://schemas.microsoft.com/office/spreadsheetml/2010/11/ac" url="C:\Users\Administrator\Desktop\Revised\PDWP_Final__PPT11032025\"/>
    </mc:Choice>
  </mc:AlternateContent>
  <xr:revisionPtr revIDLastSave="0" documentId="13_ncr:1_{2F2E057F-D459-47FA-B170-8F3162D8BA33}" xr6:coauthVersionLast="47" xr6:coauthVersionMax="47" xr10:uidLastSave="{00000000-0000-0000-0000-000000000000}"/>
  <bookViews>
    <workbookView xWindow="-108" yWindow="-108" windowWidth="23256" windowHeight="12456" activeTab="5" xr2:uid="{21F372C5-C741-4305-BE2B-2C2AE335CD76}"/>
  </bookViews>
  <sheets>
    <sheet name="Overall" sheetId="7" r:id="rId1"/>
    <sheet name="SMDB" sheetId="8" r:id="rId2"/>
    <sheet name="District Administration" sheetId="16" r:id="rId3"/>
    <sheet name="ISU" sheetId="14" r:id="rId4"/>
    <sheet name="ISU-HR" sheetId="18" r:id="rId5"/>
    <sheet name="PSPA" sheetId="9" r:id="rId6"/>
    <sheet name="HR PSPA" sheetId="10" r:id="rId7"/>
    <sheet name="PITB_1" sheetId="2" r:id="rId8"/>
    <sheet name="PITB_HR" sheetId="3" r:id="rId9"/>
    <sheet name="PITB_Other" sheetId="5" r:id="rId10"/>
    <sheet name="Urban Unit" sheetId="17" r:id="rId11"/>
    <sheet name="BOS_SR" sheetId="15" r:id="rId12"/>
    <sheet name="BOS" sheetId="13" r:id="rId13"/>
    <sheet name="Sheet1" sheetId="19" r:id="rId14"/>
  </sheets>
  <definedNames>
    <definedName name="_xlnm._FilterDatabase" localSheetId="12" hidden="1">BOS!$A$6:$H$29</definedName>
    <definedName name="_xlnm._FilterDatabase" localSheetId="8" hidden="1">PITB_HR!$A$4:$P$26</definedName>
    <definedName name="_xlnm.Print_Area" localSheetId="12">BOS!$A$1:$H$29</definedName>
    <definedName name="_xlnm.Print_Titles" localSheetId="12">BOS!$3:$4</definedName>
    <definedName name="Z_3B2D32C0_6BED_41DB_833D_D961AD41D74C_.wvu.Cols" localSheetId="12" hidden="1">BOS!#REF!</definedName>
    <definedName name="Z_3B2D32C0_6BED_41DB_833D_D961AD41D74C_.wvu.PrintArea" localSheetId="12" hidden="1">BOS!$A$1:$H$30</definedName>
    <definedName name="Z_3B2D32C0_6BED_41DB_833D_D961AD41D74C_.wvu.PrintTitles" localSheetId="12" hidden="1">BOS!$3:$4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2" i="14" l="1"/>
  <c r="I11" i="14"/>
  <c r="I8" i="14"/>
  <c r="I10" i="14"/>
  <c r="I9" i="14"/>
  <c r="I7" i="14"/>
  <c r="K15" i="9"/>
  <c r="M15" i="9" s="1"/>
  <c r="L11" i="16"/>
  <c r="L12" i="16"/>
  <c r="L10" i="16"/>
  <c r="K12" i="16"/>
  <c r="K11" i="16"/>
  <c r="K10" i="16"/>
  <c r="N14" i="2"/>
  <c r="O10" i="2"/>
  <c r="O11" i="2"/>
  <c r="O12" i="2"/>
  <c r="O13" i="2"/>
  <c r="O14" i="2"/>
  <c r="O9" i="2"/>
  <c r="N13" i="2"/>
  <c r="M13" i="9"/>
  <c r="M14" i="9"/>
  <c r="M16" i="9"/>
  <c r="M17" i="9"/>
  <c r="M18" i="9"/>
  <c r="M12" i="9"/>
  <c r="K18" i="9"/>
  <c r="K16" i="9"/>
  <c r="I5" i="19"/>
  <c r="I6" i="19"/>
  <c r="I7" i="19"/>
  <c r="I8" i="19"/>
  <c r="I9" i="19"/>
  <c r="I10" i="19"/>
  <c r="I11" i="19"/>
  <c r="I12" i="19"/>
  <c r="I13" i="19"/>
  <c r="I14" i="19"/>
  <c r="I15" i="19"/>
  <c r="I16" i="19"/>
  <c r="I4" i="19"/>
  <c r="H10" i="19"/>
  <c r="H11" i="19"/>
  <c r="H13" i="19"/>
  <c r="H14" i="19"/>
  <c r="H15" i="19"/>
  <c r="G5" i="19"/>
  <c r="G6" i="19"/>
  <c r="G7" i="19"/>
  <c r="G8" i="19"/>
  <c r="G9" i="19"/>
  <c r="G10" i="19"/>
  <c r="G11" i="19"/>
  <c r="G12" i="19"/>
  <c r="G13" i="19"/>
  <c r="G14" i="19"/>
  <c r="G15" i="19"/>
  <c r="G16" i="19"/>
  <c r="G4" i="19"/>
  <c r="F16" i="19"/>
  <c r="F9" i="19"/>
  <c r="K15" i="17"/>
  <c r="F7" i="19"/>
  <c r="F15" i="19"/>
  <c r="F4" i="19"/>
  <c r="J27" i="2"/>
  <c r="D9" i="19" s="1"/>
  <c r="C5" i="19"/>
  <c r="C6" i="19"/>
  <c r="C7" i="19"/>
  <c r="C8" i="19"/>
  <c r="C9" i="19"/>
  <c r="C10" i="19"/>
  <c r="C11" i="19"/>
  <c r="C12" i="19"/>
  <c r="C13" i="19"/>
  <c r="C14" i="19"/>
  <c r="C15" i="19"/>
  <c r="C16" i="19"/>
  <c r="C4" i="19"/>
  <c r="B16" i="19"/>
  <c r="B9" i="19"/>
  <c r="H25" i="9"/>
  <c r="B15" i="19"/>
  <c r="B8" i="19"/>
  <c r="B7" i="19"/>
  <c r="B6" i="19"/>
  <c r="B5" i="19"/>
  <c r="B4" i="19"/>
  <c r="L19" i="9"/>
  <c r="R57" i="10"/>
  <c r="T26" i="10"/>
  <c r="L17" i="9"/>
  <c r="L16" i="9"/>
  <c r="L15" i="9"/>
  <c r="L14" i="9"/>
  <c r="E3" i="9"/>
  <c r="D3" i="9"/>
  <c r="C3" i="9"/>
  <c r="F3" i="14"/>
  <c r="F4" i="14"/>
  <c r="F5" i="14"/>
  <c r="F6" i="14"/>
  <c r="F7" i="14"/>
  <c r="F8" i="14"/>
  <c r="F9" i="14"/>
  <c r="F10" i="14"/>
  <c r="F11" i="14"/>
  <c r="F12" i="14"/>
  <c r="F13" i="14"/>
  <c r="F14" i="14"/>
  <c r="F15" i="14"/>
  <c r="F16" i="14"/>
  <c r="F17" i="14"/>
  <c r="F18" i="14"/>
  <c r="F19" i="14"/>
  <c r="F20" i="14"/>
  <c r="F21" i="14"/>
  <c r="E2" i="14"/>
  <c r="E22" i="14" s="1"/>
  <c r="E23" i="14" s="1"/>
  <c r="D2" i="14"/>
  <c r="D22" i="14" s="1"/>
  <c r="D23" i="14" s="1"/>
  <c r="C2" i="14"/>
  <c r="C22" i="14" s="1"/>
  <c r="C23" i="14" s="1"/>
  <c r="O5" i="18"/>
  <c r="O6" i="18"/>
  <c r="O7" i="18"/>
  <c r="O8" i="18"/>
  <c r="O4" i="18"/>
  <c r="N6" i="18"/>
  <c r="M6" i="18"/>
  <c r="L8" i="18"/>
  <c r="L7" i="18"/>
  <c r="L6" i="18"/>
  <c r="L5" i="18"/>
  <c r="L4" i="18"/>
  <c r="K6" i="18"/>
  <c r="J6" i="18"/>
  <c r="J8" i="18"/>
  <c r="K8" i="18" s="1"/>
  <c r="K7" i="18"/>
  <c r="J7" i="18"/>
  <c r="G7" i="18"/>
  <c r="J5" i="18"/>
  <c r="K5" i="18" s="1"/>
  <c r="J4" i="18"/>
  <c r="K4" i="18" s="1"/>
  <c r="L9" i="19" l="1"/>
  <c r="F2" i="14"/>
  <c r="K19" i="9"/>
  <c r="M19" i="9" s="1"/>
  <c r="H16" i="19"/>
  <c r="M4" i="18"/>
  <c r="N4" i="18" s="1"/>
  <c r="M5" i="18"/>
  <c r="N5" i="18" s="1"/>
  <c r="M8" i="18"/>
  <c r="N8" i="18" s="1"/>
  <c r="G4" i="18"/>
  <c r="G5" i="18"/>
  <c r="G6" i="18"/>
  <c r="M7" i="18"/>
  <c r="N7" i="18" s="1"/>
  <c r="G8" i="18"/>
  <c r="I6" i="14" l="1"/>
  <c r="F22" i="14"/>
  <c r="F23" i="14" s="1"/>
  <c r="L4" i="19"/>
  <c r="G9" i="18"/>
  <c r="L9" i="18"/>
  <c r="O9" i="18"/>
  <c r="L16" i="19" l="1"/>
  <c r="P3" i="8"/>
  <c r="M16" i="19" l="1"/>
  <c r="M9" i="19"/>
  <c r="M4" i="19"/>
  <c r="F4" i="16"/>
  <c r="J7" i="19" s="1"/>
  <c r="C4" i="7"/>
  <c r="J17" i="17"/>
  <c r="F15" i="17"/>
  <c r="F14" i="17"/>
  <c r="F13" i="17"/>
  <c r="C12" i="17"/>
  <c r="F12" i="17" s="1"/>
  <c r="C11" i="17"/>
  <c r="F11" i="17" s="1"/>
  <c r="C10" i="17"/>
  <c r="F10" i="17" s="1"/>
  <c r="C9" i="17"/>
  <c r="F9" i="17" s="1"/>
  <c r="C8" i="17"/>
  <c r="F8" i="17" s="1"/>
  <c r="F5" i="17"/>
  <c r="F4" i="17"/>
  <c r="F3" i="17"/>
  <c r="F6" i="17" s="1"/>
  <c r="F18" i="17" l="1"/>
  <c r="F16" i="17"/>
  <c r="F20" i="17" l="1"/>
  <c r="F22" i="17" s="1"/>
  <c r="G22" i="17" l="1"/>
  <c r="G13" i="17"/>
  <c r="G8" i="17"/>
  <c r="G12" i="17"/>
  <c r="G3" i="17"/>
  <c r="G9" i="17"/>
  <c r="G6" i="17"/>
  <c r="G10" i="17"/>
  <c r="G14" i="17"/>
  <c r="G4" i="17"/>
  <c r="G11" i="17"/>
  <c r="G5" i="17"/>
  <c r="G15" i="17"/>
  <c r="G18" i="17"/>
  <c r="G16" i="17"/>
  <c r="G20" i="17"/>
  <c r="E22" i="16" l="1"/>
  <c r="E23" i="16"/>
  <c r="E38" i="16"/>
  <c r="E39" i="16"/>
  <c r="E4" i="16"/>
  <c r="E3" i="16"/>
  <c r="E5" i="16" s="1"/>
  <c r="E37" i="16" l="1"/>
  <c r="E47" i="16"/>
  <c r="E30" i="16"/>
  <c r="E21" i="16"/>
  <c r="E36" i="16"/>
  <c r="E20" i="16"/>
  <c r="E31" i="16"/>
  <c r="E15" i="16"/>
  <c r="E46" i="16"/>
  <c r="E14" i="16"/>
  <c r="E45" i="16"/>
  <c r="E29" i="16"/>
  <c r="E13" i="16"/>
  <c r="E44" i="16"/>
  <c r="E28" i="16"/>
  <c r="E12" i="16"/>
  <c r="E43" i="16"/>
  <c r="E19" i="16"/>
  <c r="E42" i="16"/>
  <c r="E34" i="16"/>
  <c r="E26" i="16"/>
  <c r="E18" i="16"/>
  <c r="E10" i="16"/>
  <c r="E27" i="16"/>
  <c r="E41" i="16"/>
  <c r="E25" i="16"/>
  <c r="E9" i="16"/>
  <c r="E35" i="16"/>
  <c r="E11" i="16"/>
  <c r="F3" i="16"/>
  <c r="E33" i="16"/>
  <c r="E17" i="16"/>
  <c r="E8" i="16"/>
  <c r="E40" i="16"/>
  <c r="E32" i="16"/>
  <c r="E24" i="16"/>
  <c r="E16" i="16"/>
  <c r="C7" i="7"/>
  <c r="C2" i="7"/>
  <c r="J4" i="19" l="1"/>
  <c r="F5" i="16"/>
  <c r="F16" i="16"/>
  <c r="F24" i="16"/>
  <c r="F32" i="16"/>
  <c r="F40" i="16"/>
  <c r="F8" i="16"/>
  <c r="F17" i="16"/>
  <c r="F33" i="16"/>
  <c r="F41" i="16"/>
  <c r="F20" i="16"/>
  <c r="F36" i="16"/>
  <c r="F13" i="16"/>
  <c r="F37" i="16"/>
  <c r="F30" i="16"/>
  <c r="F15" i="16"/>
  <c r="F47" i="16"/>
  <c r="F9" i="16"/>
  <c r="F25" i="16"/>
  <c r="F43" i="16"/>
  <c r="F21" i="16"/>
  <c r="F22" i="16"/>
  <c r="F46" i="16"/>
  <c r="F31" i="16"/>
  <c r="F10" i="16"/>
  <c r="F18" i="16"/>
  <c r="F26" i="16"/>
  <c r="F34" i="16"/>
  <c r="F42" i="16"/>
  <c r="F11" i="16"/>
  <c r="F19" i="16"/>
  <c r="F27" i="16"/>
  <c r="F35" i="16"/>
  <c r="F12" i="16"/>
  <c r="F28" i="16"/>
  <c r="F44" i="16"/>
  <c r="F29" i="16"/>
  <c r="F45" i="16"/>
  <c r="F14" i="16"/>
  <c r="F38" i="16"/>
  <c r="F23" i="16"/>
  <c r="F39" i="16"/>
  <c r="N27" i="13"/>
  <c r="G26" i="13"/>
  <c r="F25" i="13"/>
  <c r="G25" i="13" s="1"/>
  <c r="G24" i="13"/>
  <c r="G23" i="13"/>
  <c r="G22" i="13"/>
  <c r="G21" i="13" s="1"/>
  <c r="G19" i="13"/>
  <c r="G18" i="13"/>
  <c r="G17" i="13"/>
  <c r="G16" i="13"/>
  <c r="G15" i="13"/>
  <c r="G14" i="13" s="1"/>
  <c r="F14" i="13"/>
  <c r="K13" i="13"/>
  <c r="F13" i="13"/>
  <c r="F9" i="13" s="1"/>
  <c r="G12" i="13"/>
  <c r="H10" i="13"/>
  <c r="F11" i="13"/>
  <c r="G11" i="13" s="1"/>
  <c r="G10" i="13"/>
  <c r="G8" i="13"/>
  <c r="G7" i="13"/>
  <c r="G6" i="13"/>
  <c r="C55" i="10"/>
  <c r="G54" i="10"/>
  <c r="J53" i="10"/>
  <c r="K53" i="10" s="1"/>
  <c r="G53" i="10"/>
  <c r="J52" i="10"/>
  <c r="K52" i="10" s="1"/>
  <c r="G52" i="10"/>
  <c r="J51" i="10"/>
  <c r="K51" i="10" s="1"/>
  <c r="G51" i="10"/>
  <c r="J49" i="10"/>
  <c r="K49" i="10" s="1"/>
  <c r="G47" i="10"/>
  <c r="J44" i="10"/>
  <c r="K44" i="10" s="1"/>
  <c r="J43" i="10"/>
  <c r="K43" i="10" s="1"/>
  <c r="G43" i="10"/>
  <c r="J41" i="10"/>
  <c r="K41" i="10" s="1"/>
  <c r="J40" i="10"/>
  <c r="K40" i="10" s="1"/>
  <c r="J35" i="10"/>
  <c r="K35" i="10" s="1"/>
  <c r="G35" i="10"/>
  <c r="J33" i="10"/>
  <c r="K33" i="10" s="1"/>
  <c r="G32" i="10"/>
  <c r="G30" i="10"/>
  <c r="J26" i="10"/>
  <c r="K26" i="10" s="1"/>
  <c r="G26" i="10"/>
  <c r="J25" i="10"/>
  <c r="K25" i="10" s="1"/>
  <c r="G25" i="10"/>
  <c r="J23" i="10"/>
  <c r="K23" i="10" s="1"/>
  <c r="G23" i="10"/>
  <c r="J22" i="10"/>
  <c r="K22" i="10" s="1"/>
  <c r="G21" i="10"/>
  <c r="J20" i="10"/>
  <c r="K20" i="10" s="1"/>
  <c r="J18" i="10"/>
  <c r="K18" i="10" s="1"/>
  <c r="J17" i="10"/>
  <c r="K17" i="10" s="1"/>
  <c r="G16" i="10"/>
  <c r="J11" i="10"/>
  <c r="K11" i="10" s="1"/>
  <c r="G11" i="10"/>
  <c r="G10" i="10"/>
  <c r="J9" i="10"/>
  <c r="K9" i="10" s="1"/>
  <c r="J8" i="10"/>
  <c r="K8" i="10" s="1"/>
  <c r="G8" i="10"/>
  <c r="G6" i="10"/>
  <c r="F38" i="9"/>
  <c r="F33" i="9"/>
  <c r="F32" i="9"/>
  <c r="C32" i="9"/>
  <c r="F31" i="9"/>
  <c r="E31" i="9"/>
  <c r="D31" i="9"/>
  <c r="C31" i="9"/>
  <c r="F30" i="9"/>
  <c r="F29" i="9"/>
  <c r="F28" i="9"/>
  <c r="F27" i="9"/>
  <c r="F26" i="9"/>
  <c r="F25" i="9"/>
  <c r="F24" i="9"/>
  <c r="F23" i="9"/>
  <c r="F22" i="9"/>
  <c r="F21" i="9"/>
  <c r="F20" i="9"/>
  <c r="F19" i="9"/>
  <c r="F18" i="9"/>
  <c r="F17" i="9"/>
  <c r="C16" i="9"/>
  <c r="F16" i="9" s="1"/>
  <c r="F15" i="9"/>
  <c r="F13" i="9"/>
  <c r="F12" i="9"/>
  <c r="F11" i="9"/>
  <c r="E10" i="9"/>
  <c r="D10" i="9"/>
  <c r="C10" i="9"/>
  <c r="F10" i="9" s="1"/>
  <c r="E9" i="9"/>
  <c r="D9" i="9"/>
  <c r="C9" i="9"/>
  <c r="F9" i="9" s="1"/>
  <c r="F7" i="9"/>
  <c r="F6" i="9"/>
  <c r="F5" i="9"/>
  <c r="F4" i="9"/>
  <c r="E34" i="9"/>
  <c r="E35" i="9" s="1"/>
  <c r="D34" i="9"/>
  <c r="D35" i="9" s="1"/>
  <c r="C34" i="9"/>
  <c r="C35" i="9" s="1"/>
  <c r="L89" i="5"/>
  <c r="O89" i="5" s="1"/>
  <c r="H89" i="5"/>
  <c r="K89" i="5" s="1"/>
  <c r="G89" i="5"/>
  <c r="L88" i="5"/>
  <c r="O88" i="5" s="1"/>
  <c r="H88" i="5"/>
  <c r="K88" i="5" s="1"/>
  <c r="G88" i="5"/>
  <c r="O87" i="5"/>
  <c r="M87" i="5"/>
  <c r="K87" i="5"/>
  <c r="I87" i="5"/>
  <c r="G87" i="5"/>
  <c r="G90" i="5" s="1"/>
  <c r="O80" i="5"/>
  <c r="K80" i="5"/>
  <c r="G80" i="5"/>
  <c r="P79" i="5"/>
  <c r="P80" i="5" s="1"/>
  <c r="L72" i="5"/>
  <c r="I72" i="5"/>
  <c r="F71" i="5"/>
  <c r="M71" i="5" s="1"/>
  <c r="F70" i="5"/>
  <c r="M70" i="5" s="1"/>
  <c r="F69" i="5"/>
  <c r="M69" i="5" s="1"/>
  <c r="F68" i="5"/>
  <c r="M68" i="5" s="1"/>
  <c r="F67" i="5"/>
  <c r="M67" i="5" s="1"/>
  <c r="F66" i="5"/>
  <c r="M66" i="5" s="1"/>
  <c r="F65" i="5"/>
  <c r="M65" i="5" s="1"/>
  <c r="F64" i="5"/>
  <c r="M64" i="5" s="1"/>
  <c r="F63" i="5"/>
  <c r="M63" i="5" s="1"/>
  <c r="F62" i="5"/>
  <c r="M62" i="5" s="1"/>
  <c r="F61" i="5"/>
  <c r="M61" i="5" s="1"/>
  <c r="F60" i="5"/>
  <c r="M60" i="5" s="1"/>
  <c r="F59" i="5"/>
  <c r="P52" i="5"/>
  <c r="M51" i="5"/>
  <c r="O51" i="5" s="1"/>
  <c r="I51" i="5"/>
  <c r="K51" i="5" s="1"/>
  <c r="K53" i="5" s="1"/>
  <c r="G51" i="5"/>
  <c r="G53" i="5" s="1"/>
  <c r="P50" i="5"/>
  <c r="P49" i="5"/>
  <c r="M49" i="5"/>
  <c r="I49" i="5"/>
  <c r="D42" i="5"/>
  <c r="O41" i="5"/>
  <c r="O42" i="5" s="1"/>
  <c r="K41" i="5"/>
  <c r="K42" i="5" s="1"/>
  <c r="G41" i="5"/>
  <c r="G42" i="5" s="1"/>
  <c r="D35" i="5"/>
  <c r="M34" i="5"/>
  <c r="M35" i="5" s="1"/>
  <c r="J34" i="5"/>
  <c r="J35" i="5" s="1"/>
  <c r="G34" i="5"/>
  <c r="G35" i="5" s="1"/>
  <c r="I27" i="5"/>
  <c r="F27" i="5"/>
  <c r="I26" i="5"/>
  <c r="F26" i="5"/>
  <c r="I25" i="5"/>
  <c r="F25" i="5"/>
  <c r="I24" i="5"/>
  <c r="F24" i="5"/>
  <c r="O17" i="5"/>
  <c r="K17" i="5"/>
  <c r="G17" i="5"/>
  <c r="O16" i="5"/>
  <c r="K16" i="5"/>
  <c r="G16" i="5"/>
  <c r="P15" i="5"/>
  <c r="P14" i="5"/>
  <c r="P13" i="5"/>
  <c r="P12" i="5"/>
  <c r="P11" i="5"/>
  <c r="P10" i="5"/>
  <c r="P9" i="5"/>
  <c r="P8" i="5"/>
  <c r="P7" i="5"/>
  <c r="P6" i="5"/>
  <c r="P5" i="5"/>
  <c r="P4" i="5"/>
  <c r="J16" i="19" l="1"/>
  <c r="K4" i="19" s="1"/>
  <c r="F48" i="16"/>
  <c r="C6" i="7"/>
  <c r="M25" i="5"/>
  <c r="P42" i="5"/>
  <c r="M27" i="5"/>
  <c r="F28" i="5"/>
  <c r="K90" i="5"/>
  <c r="F72" i="5"/>
  <c r="P87" i="5"/>
  <c r="P88" i="5"/>
  <c r="F35" i="9"/>
  <c r="G22" i="10"/>
  <c r="J16" i="10"/>
  <c r="K16" i="10" s="1"/>
  <c r="J30" i="10"/>
  <c r="K30" i="10" s="1"/>
  <c r="J6" i="10"/>
  <c r="K6" i="10" s="1"/>
  <c r="G17" i="10"/>
  <c r="G12" i="10"/>
  <c r="J34" i="10"/>
  <c r="K34" i="10" s="1"/>
  <c r="L34" i="10" s="1"/>
  <c r="G39" i="10"/>
  <c r="G44" i="10"/>
  <c r="L53" i="10"/>
  <c r="J12" i="10"/>
  <c r="K12" i="10" s="1"/>
  <c r="L12" i="10" s="1"/>
  <c r="J39" i="10"/>
  <c r="K39" i="10" s="1"/>
  <c r="O39" i="10" s="1"/>
  <c r="P39" i="10" s="1"/>
  <c r="Q39" i="10" s="1"/>
  <c r="G31" i="10"/>
  <c r="J21" i="10"/>
  <c r="K21" i="10" s="1"/>
  <c r="O21" i="10" s="1"/>
  <c r="P21" i="10" s="1"/>
  <c r="Q21" i="10" s="1"/>
  <c r="J31" i="10"/>
  <c r="K31" i="10" s="1"/>
  <c r="G41" i="10"/>
  <c r="G13" i="13"/>
  <c r="G9" i="13" s="1"/>
  <c r="G27" i="13" s="1"/>
  <c r="O8" i="10"/>
  <c r="P8" i="10"/>
  <c r="Q8" i="10" s="1"/>
  <c r="O20" i="10"/>
  <c r="P20" i="10" s="1"/>
  <c r="Q20" i="10" s="1"/>
  <c r="L20" i="10"/>
  <c r="L40" i="10"/>
  <c r="O40" i="10"/>
  <c r="P40" i="10" s="1"/>
  <c r="Q40" i="10" s="1"/>
  <c r="R40" i="10" s="1"/>
  <c r="O52" i="10"/>
  <c r="P52" i="10" s="1"/>
  <c r="Q52" i="10" s="1"/>
  <c r="R52" i="10" s="1"/>
  <c r="L52" i="10"/>
  <c r="O9" i="10"/>
  <c r="P9" i="10" s="1"/>
  <c r="Q9" i="10" s="1"/>
  <c r="L9" i="10"/>
  <c r="O25" i="10"/>
  <c r="P25" i="10" s="1"/>
  <c r="Q25" i="10" s="1"/>
  <c r="R25" i="10" s="1"/>
  <c r="L25" i="10"/>
  <c r="O35" i="10"/>
  <c r="P35" i="10" s="1"/>
  <c r="Q35" i="10" s="1"/>
  <c r="L35" i="10"/>
  <c r="O16" i="10"/>
  <c r="P16" i="10" s="1"/>
  <c r="Q16" i="10" s="1"/>
  <c r="P26" i="10"/>
  <c r="Q26" i="10" s="1"/>
  <c r="R26" i="10" s="1"/>
  <c r="O26" i="10"/>
  <c r="L26" i="10"/>
  <c r="O11" i="10"/>
  <c r="P11" i="10" s="1"/>
  <c r="Q11" i="10" s="1"/>
  <c r="L11" i="10"/>
  <c r="L17" i="10"/>
  <c r="L28" i="10"/>
  <c r="O33" i="10"/>
  <c r="P33" i="10" s="1"/>
  <c r="Q33" i="10" s="1"/>
  <c r="L33" i="10"/>
  <c r="O43" i="10"/>
  <c r="P43" i="10" s="1"/>
  <c r="Q43" i="10" s="1"/>
  <c r="L43" i="10"/>
  <c r="O49" i="10"/>
  <c r="P49" i="10" s="1"/>
  <c r="Q49" i="10" s="1"/>
  <c r="O41" i="10"/>
  <c r="P41" i="10" s="1"/>
  <c r="Q41" i="10" s="1"/>
  <c r="L41" i="10"/>
  <c r="O6" i="10"/>
  <c r="P6" i="10" s="1"/>
  <c r="Q6" i="10" s="1"/>
  <c r="R6" i="10" s="1"/>
  <c r="O22" i="10"/>
  <c r="P22" i="10" s="1"/>
  <c r="Q22" i="10" s="1"/>
  <c r="L22" i="10"/>
  <c r="L8" i="10"/>
  <c r="O17" i="10"/>
  <c r="P17" i="10" s="1"/>
  <c r="Q17" i="10" s="1"/>
  <c r="R17" i="10" s="1"/>
  <c r="P51" i="10"/>
  <c r="Q51" i="10" s="1"/>
  <c r="R51" i="10" s="1"/>
  <c r="O51" i="10"/>
  <c r="L51" i="10"/>
  <c r="O12" i="10"/>
  <c r="P12" i="10" s="1"/>
  <c r="Q12" i="10" s="1"/>
  <c r="L18" i="10"/>
  <c r="O18" i="10"/>
  <c r="P18" i="10" s="1"/>
  <c r="Q18" i="10" s="1"/>
  <c r="R18" i="10" s="1"/>
  <c r="O23" i="10"/>
  <c r="P23" i="10" s="1"/>
  <c r="Q23" i="10" s="1"/>
  <c r="R23" i="10" s="1"/>
  <c r="L23" i="10"/>
  <c r="O30" i="10"/>
  <c r="P30" i="10" s="1"/>
  <c r="Q30" i="10" s="1"/>
  <c r="O44" i="10"/>
  <c r="P44" i="10" s="1"/>
  <c r="Q44" i="10" s="1"/>
  <c r="L44" i="10"/>
  <c r="G18" i="10"/>
  <c r="L6" i="10"/>
  <c r="L16" i="10"/>
  <c r="G20" i="10"/>
  <c r="L30" i="10"/>
  <c r="J32" i="10"/>
  <c r="K32" i="10" s="1"/>
  <c r="G33" i="10"/>
  <c r="J10" i="10"/>
  <c r="K10" i="10" s="1"/>
  <c r="G34" i="10"/>
  <c r="L49" i="10"/>
  <c r="G13" i="10"/>
  <c r="G28" i="10"/>
  <c r="G36" i="10"/>
  <c r="G45" i="10"/>
  <c r="J4" i="10"/>
  <c r="K4" i="10" s="1"/>
  <c r="G5" i="10"/>
  <c r="J13" i="10"/>
  <c r="K13" i="10" s="1"/>
  <c r="J45" i="10"/>
  <c r="K45" i="10" s="1"/>
  <c r="G4" i="10"/>
  <c r="G14" i="10"/>
  <c r="J28" i="10"/>
  <c r="K28" i="10" s="1"/>
  <c r="G29" i="10"/>
  <c r="J36" i="10"/>
  <c r="K36" i="10" s="1"/>
  <c r="G37" i="10"/>
  <c r="J5" i="10"/>
  <c r="K5" i="10" s="1"/>
  <c r="J14" i="10"/>
  <c r="K14" i="10" s="1"/>
  <c r="J29" i="10"/>
  <c r="K29" i="10" s="1"/>
  <c r="L29" i="10" s="1"/>
  <c r="J37" i="10"/>
  <c r="K37" i="10" s="1"/>
  <c r="L37" i="10" s="1"/>
  <c r="G38" i="10"/>
  <c r="J47" i="10"/>
  <c r="K47" i="10" s="1"/>
  <c r="G48" i="10"/>
  <c r="O53" i="10"/>
  <c r="P53" i="10" s="1"/>
  <c r="Q53" i="10" s="1"/>
  <c r="R53" i="10" s="1"/>
  <c r="J54" i="10"/>
  <c r="K54" i="10" s="1"/>
  <c r="L54" i="10" s="1"/>
  <c r="J38" i="10"/>
  <c r="K38" i="10" s="1"/>
  <c r="L38" i="10" s="1"/>
  <c r="J48" i="10"/>
  <c r="K48" i="10" s="1"/>
  <c r="L48" i="10" s="1"/>
  <c r="G49" i="10"/>
  <c r="G9" i="10"/>
  <c r="G40" i="10"/>
  <c r="F3" i="9"/>
  <c r="P89" i="5"/>
  <c r="O90" i="5"/>
  <c r="M59" i="5"/>
  <c r="M72" i="5" s="1"/>
  <c r="P51" i="5"/>
  <c r="O53" i="5"/>
  <c r="P53" i="5" s="1"/>
  <c r="P41" i="5"/>
  <c r="M24" i="5"/>
  <c r="I28" i="5"/>
  <c r="N34" i="5"/>
  <c r="N35" i="5" s="1"/>
  <c r="M26" i="5"/>
  <c r="M28" i="5" s="1"/>
  <c r="P16" i="5"/>
  <c r="P17" i="5"/>
  <c r="K16" i="19" l="1"/>
  <c r="K7" i="19"/>
  <c r="P90" i="5"/>
  <c r="R44" i="10"/>
  <c r="R30" i="10"/>
  <c r="L39" i="10"/>
  <c r="R39" i="10"/>
  <c r="R22" i="10"/>
  <c r="O34" i="10"/>
  <c r="P34" i="10" s="1"/>
  <c r="Q34" i="10" s="1"/>
  <c r="R34" i="10" s="1"/>
  <c r="R33" i="10"/>
  <c r="R16" i="10"/>
  <c r="R35" i="10"/>
  <c r="R20" i="10"/>
  <c r="L31" i="10"/>
  <c r="R41" i="10"/>
  <c r="O31" i="10"/>
  <c r="P31" i="10" s="1"/>
  <c r="Q31" i="10" s="1"/>
  <c r="R31" i="10" s="1"/>
  <c r="R8" i="10"/>
  <c r="R49" i="10"/>
  <c r="R9" i="10"/>
  <c r="R11" i="10"/>
  <c r="R12" i="10"/>
  <c r="L21" i="10"/>
  <c r="R21" i="10" s="1"/>
  <c r="R43" i="10"/>
  <c r="G28" i="13"/>
  <c r="G29" i="13" s="1"/>
  <c r="G31" i="13" s="1"/>
  <c r="O5" i="10"/>
  <c r="P5" i="10"/>
  <c r="Q5" i="10" s="1"/>
  <c r="O36" i="10"/>
  <c r="P36" i="10" s="1"/>
  <c r="Q36" i="10" s="1"/>
  <c r="O47" i="10"/>
  <c r="P47" i="10" s="1"/>
  <c r="Q47" i="10" s="1"/>
  <c r="L32" i="10"/>
  <c r="O32" i="10"/>
  <c r="P32" i="10" s="1"/>
  <c r="Q32" i="10" s="1"/>
  <c r="O28" i="10"/>
  <c r="P28" i="10" s="1"/>
  <c r="Q28" i="10" s="1"/>
  <c r="R28" i="10" s="1"/>
  <c r="L5" i="10"/>
  <c r="O13" i="10"/>
  <c r="P13" i="10" s="1"/>
  <c r="Q13" i="10" s="1"/>
  <c r="O10" i="10"/>
  <c r="P10" i="10" s="1"/>
  <c r="Q10" i="10" s="1"/>
  <c r="L10" i="10"/>
  <c r="O37" i="10"/>
  <c r="P37" i="10" s="1"/>
  <c r="Q37" i="10" s="1"/>
  <c r="R37" i="10" s="1"/>
  <c r="O48" i="10"/>
  <c r="P48" i="10" s="1"/>
  <c r="Q48" i="10" s="1"/>
  <c r="R48" i="10" s="1"/>
  <c r="O29" i="10"/>
  <c r="P29" i="10" s="1"/>
  <c r="Q29" i="10" s="1"/>
  <c r="R29" i="10" s="1"/>
  <c r="L47" i="10"/>
  <c r="O54" i="10"/>
  <c r="P54" i="10" s="1"/>
  <c r="Q54" i="10" s="1"/>
  <c r="R54" i="10" s="1"/>
  <c r="O4" i="10"/>
  <c r="P4" i="10" s="1"/>
  <c r="Q4" i="10" s="1"/>
  <c r="L36" i="10"/>
  <c r="L4" i="10"/>
  <c r="G55" i="10"/>
  <c r="O38" i="10"/>
  <c r="P38" i="10" s="1"/>
  <c r="Q38" i="10" s="1"/>
  <c r="R38" i="10" s="1"/>
  <c r="O14" i="10"/>
  <c r="P14" i="10" s="1"/>
  <c r="Q14" i="10" s="1"/>
  <c r="O45" i="10"/>
  <c r="P45" i="10" s="1"/>
  <c r="Q45" i="10" s="1"/>
  <c r="L45" i="10"/>
  <c r="L14" i="10"/>
  <c r="L13" i="10"/>
  <c r="F34" i="9"/>
  <c r="C5" i="7" s="1"/>
  <c r="R13" i="10" l="1"/>
  <c r="R10" i="10"/>
  <c r="R47" i="10"/>
  <c r="R36" i="10"/>
  <c r="R5" i="10"/>
  <c r="R45" i="10"/>
  <c r="R14" i="10"/>
  <c r="R32" i="10"/>
  <c r="Q55" i="10"/>
  <c r="R4" i="10"/>
  <c r="L55" i="10"/>
  <c r="G18" i="9"/>
  <c r="G33" i="9"/>
  <c r="G27" i="9"/>
  <c r="G23" i="9"/>
  <c r="G19" i="9"/>
  <c r="G6" i="9"/>
  <c r="G22" i="9"/>
  <c r="G5" i="9"/>
  <c r="G32" i="9"/>
  <c r="G30" i="9"/>
  <c r="G26" i="9"/>
  <c r="G24" i="9"/>
  <c r="G7" i="9"/>
  <c r="G13" i="9"/>
  <c r="G28" i="9"/>
  <c r="G20" i="9"/>
  <c r="G16" i="9"/>
  <c r="G9" i="9"/>
  <c r="G10" i="9"/>
  <c r="G12" i="9"/>
  <c r="G15" i="9"/>
  <c r="G17" i="9"/>
  <c r="G25" i="9"/>
  <c r="G21" i="9"/>
  <c r="G11" i="9"/>
  <c r="G31" i="9"/>
  <c r="G29" i="9"/>
  <c r="G4" i="9"/>
  <c r="G3" i="9"/>
  <c r="R55" i="10" l="1"/>
  <c r="G34" i="9"/>
  <c r="Q25" i="3" l="1"/>
  <c r="Q6" i="3"/>
  <c r="Q7" i="3"/>
  <c r="Q8" i="3"/>
  <c r="Q9" i="3"/>
  <c r="Q10" i="3"/>
  <c r="Q11" i="3"/>
  <c r="Q12" i="3"/>
  <c r="Q13" i="3"/>
  <c r="Q14" i="3"/>
  <c r="Q15" i="3"/>
  <c r="Q16" i="3"/>
  <c r="Q17" i="3"/>
  <c r="Q18" i="3"/>
  <c r="Q19" i="3"/>
  <c r="Q20" i="3"/>
  <c r="Q21" i="3"/>
  <c r="Q22" i="3"/>
  <c r="Q23" i="3"/>
  <c r="Q24" i="3"/>
  <c r="Q5" i="3"/>
  <c r="E25" i="3"/>
  <c r="O24" i="3"/>
  <c r="P24" i="3" s="1"/>
  <c r="M24" i="3"/>
  <c r="K24" i="3"/>
  <c r="I24" i="3"/>
  <c r="L24" i="3" s="1"/>
  <c r="H24" i="3"/>
  <c r="M23" i="3"/>
  <c r="L23" i="3"/>
  <c r="K23" i="3"/>
  <c r="O23" i="3" s="1"/>
  <c r="P23" i="3" s="1"/>
  <c r="I23" i="3"/>
  <c r="H23" i="3"/>
  <c r="K22" i="3"/>
  <c r="O22" i="3" s="1"/>
  <c r="I22" i="3"/>
  <c r="M22" i="3" s="1"/>
  <c r="H22" i="3"/>
  <c r="K21" i="3"/>
  <c r="O21" i="3" s="1"/>
  <c r="I21" i="3"/>
  <c r="M21" i="3" s="1"/>
  <c r="H21" i="3"/>
  <c r="O20" i="3"/>
  <c r="P20" i="3" s="1"/>
  <c r="K20" i="3"/>
  <c r="I20" i="3"/>
  <c r="M20" i="3" s="1"/>
  <c r="H20" i="3"/>
  <c r="M19" i="3"/>
  <c r="K19" i="3"/>
  <c r="O19" i="3" s="1"/>
  <c r="P19" i="3" s="1"/>
  <c r="I19" i="3"/>
  <c r="H19" i="3"/>
  <c r="K18" i="3"/>
  <c r="O18" i="3" s="1"/>
  <c r="I18" i="3"/>
  <c r="L18" i="3" s="1"/>
  <c r="H18" i="3"/>
  <c r="O17" i="3"/>
  <c r="P17" i="3" s="1"/>
  <c r="K17" i="3"/>
  <c r="L17" i="3" s="1"/>
  <c r="I17" i="3"/>
  <c r="M17" i="3" s="1"/>
  <c r="H17" i="3"/>
  <c r="O16" i="3"/>
  <c r="P16" i="3" s="1"/>
  <c r="M16" i="3"/>
  <c r="K16" i="3"/>
  <c r="I16" i="3"/>
  <c r="L16" i="3" s="1"/>
  <c r="H16" i="3"/>
  <c r="M15" i="3"/>
  <c r="L15" i="3"/>
  <c r="K15" i="3"/>
  <c r="O15" i="3" s="1"/>
  <c r="P15" i="3" s="1"/>
  <c r="I15" i="3"/>
  <c r="H15" i="3"/>
  <c r="K14" i="3"/>
  <c r="O14" i="3" s="1"/>
  <c r="P14" i="3" s="1"/>
  <c r="I14" i="3"/>
  <c r="M14" i="3" s="1"/>
  <c r="H14" i="3"/>
  <c r="K13" i="3"/>
  <c r="O13" i="3" s="1"/>
  <c r="P13" i="3" s="1"/>
  <c r="I13" i="3"/>
  <c r="M13" i="3" s="1"/>
  <c r="H13" i="3"/>
  <c r="O12" i="3"/>
  <c r="K12" i="3"/>
  <c r="I12" i="3"/>
  <c r="M12" i="3" s="1"/>
  <c r="H12" i="3"/>
  <c r="M11" i="3"/>
  <c r="K11" i="3"/>
  <c r="O11" i="3" s="1"/>
  <c r="P11" i="3" s="1"/>
  <c r="I11" i="3"/>
  <c r="H11" i="3"/>
  <c r="K10" i="3"/>
  <c r="O10" i="3" s="1"/>
  <c r="I10" i="3"/>
  <c r="L10" i="3" s="1"/>
  <c r="H10" i="3"/>
  <c r="O9" i="3"/>
  <c r="K9" i="3"/>
  <c r="L9" i="3" s="1"/>
  <c r="I9" i="3"/>
  <c r="M9" i="3" s="1"/>
  <c r="H9" i="3"/>
  <c r="O8" i="3"/>
  <c r="P8" i="3" s="1"/>
  <c r="M8" i="3"/>
  <c r="K8" i="3"/>
  <c r="I8" i="3"/>
  <c r="L8" i="3" s="1"/>
  <c r="H8" i="3"/>
  <c r="M7" i="3"/>
  <c r="L7" i="3"/>
  <c r="K7" i="3"/>
  <c r="O7" i="3" s="1"/>
  <c r="P7" i="3" s="1"/>
  <c r="I7" i="3"/>
  <c r="H7" i="3"/>
  <c r="K6" i="3"/>
  <c r="O6" i="3" s="1"/>
  <c r="I6" i="3"/>
  <c r="M6" i="3" s="1"/>
  <c r="H6" i="3"/>
  <c r="K5" i="3"/>
  <c r="O5" i="3" s="1"/>
  <c r="I5" i="3"/>
  <c r="I25" i="3" s="1"/>
  <c r="H5" i="3"/>
  <c r="H25" i="3" s="1"/>
  <c r="H27" i="2"/>
  <c r="H24" i="2"/>
  <c r="H22" i="2"/>
  <c r="H21" i="2"/>
  <c r="H20" i="2"/>
  <c r="H19" i="2"/>
  <c r="H16" i="2"/>
  <c r="D7" i="19" s="1"/>
  <c r="H14" i="2"/>
  <c r="H12" i="2"/>
  <c r="H11" i="2"/>
  <c r="H9" i="2"/>
  <c r="N12" i="2" s="1"/>
  <c r="H8" i="2" l="1"/>
  <c r="N11" i="2" s="1"/>
  <c r="F28" i="2"/>
  <c r="F29" i="2" s="1"/>
  <c r="H17" i="2"/>
  <c r="H25" i="2"/>
  <c r="G28" i="2"/>
  <c r="G29" i="2" s="1"/>
  <c r="H15" i="2"/>
  <c r="H23" i="2"/>
  <c r="E28" i="2"/>
  <c r="E29" i="2" s="1"/>
  <c r="H7" i="2"/>
  <c r="N10" i="2" s="1"/>
  <c r="H10" i="2"/>
  <c r="H18" i="2"/>
  <c r="H26" i="2"/>
  <c r="H13" i="2"/>
  <c r="P6" i="3"/>
  <c r="P10" i="3"/>
  <c r="P12" i="3"/>
  <c r="P21" i="3"/>
  <c r="P5" i="3"/>
  <c r="P9" i="3"/>
  <c r="P22" i="3"/>
  <c r="L6" i="3"/>
  <c r="L14" i="3"/>
  <c r="L22" i="3"/>
  <c r="L5" i="3"/>
  <c r="L13" i="3"/>
  <c r="L21" i="3"/>
  <c r="M5" i="3"/>
  <c r="L12" i="3"/>
  <c r="L20" i="3"/>
  <c r="L11" i="3"/>
  <c r="L19" i="3"/>
  <c r="M10" i="3"/>
  <c r="M18" i="3"/>
  <c r="P18" i="3" s="1"/>
  <c r="H6" i="2"/>
  <c r="D4" i="19" l="1"/>
  <c r="N9" i="2"/>
  <c r="D16" i="19"/>
  <c r="M25" i="3"/>
  <c r="P25" i="3"/>
  <c r="L25" i="3"/>
  <c r="H28" i="2"/>
  <c r="C3" i="7" l="1"/>
  <c r="C8" i="7"/>
  <c r="D3" i="7" s="1"/>
  <c r="E8" i="19"/>
  <c r="E16" i="19"/>
  <c r="E10" i="19"/>
  <c r="E11" i="19"/>
  <c r="E15" i="19"/>
  <c r="E12" i="19"/>
  <c r="E5" i="19"/>
  <c r="E13" i="19"/>
  <c r="E6" i="19"/>
  <c r="E14" i="19"/>
  <c r="E9" i="19"/>
  <c r="E7" i="19"/>
  <c r="E4" i="19"/>
  <c r="H29" i="2"/>
  <c r="I9" i="2"/>
  <c r="I23" i="2"/>
  <c r="I26" i="2"/>
  <c r="I16" i="2"/>
  <c r="I17" i="2"/>
  <c r="I21" i="2"/>
  <c r="I18" i="2"/>
  <c r="I8" i="2"/>
  <c r="I7" i="2"/>
  <c r="I11" i="2"/>
  <c r="I15" i="2"/>
  <c r="I13" i="2"/>
  <c r="I27" i="2"/>
  <c r="I12" i="2"/>
  <c r="I20" i="2"/>
  <c r="I10" i="2"/>
  <c r="I25" i="2"/>
  <c r="I24" i="2"/>
  <c r="I19" i="2"/>
  <c r="I14" i="2"/>
  <c r="I22" i="2"/>
  <c r="I6" i="2"/>
  <c r="D7" i="7" l="1"/>
  <c r="D6" i="7"/>
  <c r="D2" i="7"/>
  <c r="D4" i="7"/>
  <c r="D8" i="7"/>
  <c r="D5" i="7"/>
  <c r="I28" i="2"/>
</calcChain>
</file>

<file path=xl/sharedStrings.xml><?xml version="1.0" encoding="utf-8"?>
<sst xmlns="http://schemas.openxmlformats.org/spreadsheetml/2006/main" count="899" uniqueCount="447">
  <si>
    <t>PSER PC-1 PITB Component Cost Summary
Year wise Costing</t>
  </si>
  <si>
    <t>Sr. No.</t>
  </si>
  <si>
    <t>Object Code</t>
  </si>
  <si>
    <t>Description</t>
  </si>
  <si>
    <t>Year 1
(Dec 2024 - Jun 2025)</t>
  </si>
  <si>
    <t>Year 2
(Jul 2025 - Jun 2026)</t>
  </si>
  <si>
    <t>Year 3
(Jul 2026 - Jun 2027)</t>
  </si>
  <si>
    <t>Total</t>
  </si>
  <si>
    <t>%</t>
  </si>
  <si>
    <t>A01106</t>
  </si>
  <si>
    <t>Manpower</t>
  </si>
  <si>
    <t>A03204</t>
  </si>
  <si>
    <t>Electronic Communication</t>
  </si>
  <si>
    <t>A09201</t>
  </si>
  <si>
    <t>Purchase of Hardware</t>
  </si>
  <si>
    <t>-</t>
  </si>
  <si>
    <t>A03919</t>
  </si>
  <si>
    <t>Payment to Others</t>
  </si>
  <si>
    <t>A03402</t>
  </si>
  <si>
    <t>Office Rent</t>
  </si>
  <si>
    <t>A09701</t>
  </si>
  <si>
    <t>Furniture</t>
  </si>
  <si>
    <t>A03807</t>
  </si>
  <si>
    <t>POL</t>
  </si>
  <si>
    <t>A03904</t>
  </si>
  <si>
    <t>Rental of Vehicle</t>
  </si>
  <si>
    <t>A03901</t>
  </si>
  <si>
    <t>Stationary</t>
  </si>
  <si>
    <t>A03902</t>
  </si>
  <si>
    <t>Printing &amp; Publication</t>
  </si>
  <si>
    <t>A03907</t>
  </si>
  <si>
    <t>Advertisement &amp; Publicity</t>
  </si>
  <si>
    <t>A03903</t>
  </si>
  <si>
    <t>Conference/Seminars/Trainings</t>
  </si>
  <si>
    <t>A03805</t>
  </si>
  <si>
    <t>Travelling Allowance</t>
  </si>
  <si>
    <t>A06301</t>
  </si>
  <si>
    <t>Entertainment</t>
  </si>
  <si>
    <t>A03955</t>
  </si>
  <si>
    <t>Computer Stationary</t>
  </si>
  <si>
    <t>A13201</t>
  </si>
  <si>
    <t>R&amp;M Furniture</t>
  </si>
  <si>
    <t>A13701</t>
  </si>
  <si>
    <t>R&amp;M Hardware</t>
  </si>
  <si>
    <t>A03202</t>
  </si>
  <si>
    <t>Mobile Bills</t>
  </si>
  <si>
    <t>A03205</t>
  </si>
  <si>
    <t>Postal and Courier Services</t>
  </si>
  <si>
    <t>Telephone Bills</t>
  </si>
  <si>
    <t>A03303</t>
  </si>
  <si>
    <t>Electricity Bills</t>
  </si>
  <si>
    <t>A03970</t>
  </si>
  <si>
    <t>Others</t>
  </si>
  <si>
    <t>GRAND TOTAL</t>
  </si>
  <si>
    <t>GRAND TOTAL (M)</t>
  </si>
  <si>
    <t>Designation</t>
  </si>
  <si>
    <t>PPS</t>
  </si>
  <si>
    <t>No. of Posts</t>
  </si>
  <si>
    <t>Year 1 (May 2025 - Jun 2025)</t>
  </si>
  <si>
    <t>Year 2 (Jul 2025 - Jun 2026)</t>
  </si>
  <si>
    <t>Year 3 (Jul 2026 - Jun 2027)</t>
  </si>
  <si>
    <t>Months</t>
  </si>
  <si>
    <t>Monthly Salary</t>
  </si>
  <si>
    <t>Project Lead</t>
  </si>
  <si>
    <t>Joint Director (Operations, Technical)</t>
  </si>
  <si>
    <t>Senior Programme Manager (Coordination)</t>
  </si>
  <si>
    <t>Programme Officer</t>
  </si>
  <si>
    <t>Principal Software Engineer</t>
  </si>
  <si>
    <t>Senior Software Engineer</t>
  </si>
  <si>
    <t>Software Engineer</t>
  </si>
  <si>
    <t>Database Administrator</t>
  </si>
  <si>
    <t>Sr. Quality Assurance Engineer</t>
  </si>
  <si>
    <t>Quality Assurance Engineer</t>
  </si>
  <si>
    <t xml:space="preserve">Mobile Developer </t>
  </si>
  <si>
    <t>UI/UX Designer</t>
  </si>
  <si>
    <t>Data Modeler</t>
  </si>
  <si>
    <t>Senior Data Engineer</t>
  </si>
  <si>
    <t>Data Engineer</t>
  </si>
  <si>
    <t>Data Scientist</t>
  </si>
  <si>
    <t>BI Developer</t>
  </si>
  <si>
    <t>Devops Engineer</t>
  </si>
  <si>
    <t>Data Security Specialist</t>
  </si>
  <si>
    <t>Management Assistant</t>
  </si>
  <si>
    <t>Note: Executing agency /PITB may hire HR or outsource the acquisition of staff to third party.</t>
  </si>
  <si>
    <t>Year 1 (Apr 2024 - Jun 2025)</t>
  </si>
  <si>
    <t xml:space="preserve"> Grand Total</t>
  </si>
  <si>
    <t xml:space="preserve">Description </t>
  </si>
  <si>
    <t>Qty</t>
  </si>
  <si>
    <t>Unit Cost</t>
  </si>
  <si>
    <t>Year 1 Total</t>
  </si>
  <si>
    <t>Year 2 Total</t>
  </si>
  <si>
    <t>Year 3 total</t>
  </si>
  <si>
    <t>Stationery</t>
  </si>
  <si>
    <t>Lumpsum</t>
  </si>
  <si>
    <t>Training and Capacity Building</t>
  </si>
  <si>
    <t>Advertisement</t>
  </si>
  <si>
    <t>TA/DA</t>
  </si>
  <si>
    <t>Computer stationary</t>
  </si>
  <si>
    <t>Postal</t>
  </si>
  <si>
    <t>R&amp;M of F&amp;F</t>
  </si>
  <si>
    <t>R&amp;M of Hardware</t>
  </si>
  <si>
    <t>IP Phone</t>
  </si>
  <si>
    <t>Year 1 (Apr 2025 - Jun 2025)</t>
  </si>
  <si>
    <t>Year 3 (Jul 2026 - Dec 2026)</t>
  </si>
  <si>
    <t>Executive Table with drawer and Chair</t>
  </si>
  <si>
    <t>Managerial Table and chair</t>
  </si>
  <si>
    <t>Computer chair and table (work station)</t>
  </si>
  <si>
    <t>Visitor Chairs</t>
  </si>
  <si>
    <t xml:space="preserve">Months </t>
  </si>
  <si>
    <t xml:space="preserve">POL  </t>
  </si>
  <si>
    <t>PL = 300 litre and JD = 250 litre</t>
  </si>
  <si>
    <t>1000 CC Vehicle with Driver</t>
  </si>
  <si>
    <t>P:S These will be pool car.</t>
  </si>
  <si>
    <t>Payment to others for Rendered Services</t>
  </si>
  <si>
    <t>Year 1 (Dec 2024 - Jun 2025)</t>
  </si>
  <si>
    <t>SMS (Alerts &amp; Bulk)</t>
  </si>
  <si>
    <t>Robo Calls</t>
  </si>
  <si>
    <t>Call Center Chargers</t>
  </si>
  <si>
    <t>Social Media Cost</t>
  </si>
  <si>
    <t>LumpSum</t>
  </si>
  <si>
    <t>lumpsump</t>
  </si>
  <si>
    <t>Item</t>
  </si>
  <si>
    <t>Year 3 (July 2026 - Jun 2027)</t>
  </si>
  <si>
    <t>Laptop i7</t>
  </si>
  <si>
    <t>Laptop i5</t>
  </si>
  <si>
    <t>Tablet for Testing</t>
  </si>
  <si>
    <t>Mobile Device for Testing (Android)</t>
  </si>
  <si>
    <t>Mobile Device for Testing (iOS)</t>
  </si>
  <si>
    <t xml:space="preserve">Internet Device </t>
  </si>
  <si>
    <t>60 Inch Led Smart TV</t>
  </si>
  <si>
    <t>Computer LCD</t>
  </si>
  <si>
    <t>Laser Printer (B&amp;W)</t>
  </si>
  <si>
    <t>IP Phones</t>
  </si>
  <si>
    <t>Laser Printer (Colour)</t>
  </si>
  <si>
    <t>Paper Shredder</t>
  </si>
  <si>
    <t>Photocopy Machine</t>
  </si>
  <si>
    <t>Office rent</t>
  </si>
  <si>
    <t>Sr.No</t>
  </si>
  <si>
    <t>Year 1 (Jul 2024 - Jun 2025)</t>
  </si>
  <si>
    <t>Managed Hosting</t>
  </si>
  <si>
    <t>Data SIMs Charges</t>
  </si>
  <si>
    <t>Internet Device Charges</t>
  </si>
  <si>
    <t>Sr No.</t>
  </si>
  <si>
    <t>Name of the Executing &amp; Implementation Agency</t>
  </si>
  <si>
    <t>Estimated Cost (Rs. Million)</t>
  </si>
  <si>
    <t>% Share</t>
  </si>
  <si>
    <t>Duration</t>
  </si>
  <si>
    <t>BOS</t>
  </si>
  <si>
    <t>December 2025 to June 2027</t>
  </si>
  <si>
    <t>PITB</t>
  </si>
  <si>
    <t>Urban Unit</t>
  </si>
  <si>
    <t>PSPA</t>
  </si>
  <si>
    <t>S.No</t>
  </si>
  <si>
    <t>Object Code Name</t>
  </si>
  <si>
    <t xml:space="preserve"> PITB</t>
  </si>
  <si>
    <t xml:space="preserve"> PSPA</t>
  </si>
  <si>
    <t xml:space="preserve"> Urban Unit</t>
  </si>
  <si>
    <t>District Administration</t>
  </si>
  <si>
    <t xml:space="preserve">Total </t>
  </si>
  <si>
    <t>A01</t>
  </si>
  <si>
    <t>Employees Related Expenses</t>
  </si>
  <si>
    <t>A01156</t>
  </si>
  <si>
    <t>Pay of Contract Staff</t>
  </si>
  <si>
    <t>A01273</t>
  </si>
  <si>
    <t xml:space="preserve">Honararium </t>
  </si>
  <si>
    <t>A01277</t>
  </si>
  <si>
    <t>Contingent Paid staff</t>
  </si>
  <si>
    <t>A02202</t>
  </si>
  <si>
    <t>Exploratory Operation</t>
  </si>
  <si>
    <t>TRAVELLING ALLOWANCE</t>
  </si>
  <si>
    <t>POL Charges</t>
  </si>
  <si>
    <t>A03821</t>
  </si>
  <si>
    <t>Training-Domestic</t>
  </si>
  <si>
    <t>Hire of Vehicle</t>
  </si>
  <si>
    <t>ADVERTISING AND PUBLICITY</t>
  </si>
  <si>
    <t>A03915</t>
  </si>
  <si>
    <t>PAYMENTS TO GOVT. DEPT FOR SERVICE RENDERED</t>
  </si>
  <si>
    <t>PAYMENTS TO OTHERS FOR SERVICE RENDERED</t>
  </si>
  <si>
    <t>General Others Expenses</t>
  </si>
  <si>
    <t>A05270</t>
  </si>
  <si>
    <t>OTHERS</t>
  </si>
  <si>
    <t>Year wise Costing</t>
  </si>
  <si>
    <t xml:space="preserve"> S.No</t>
  </si>
  <si>
    <t>Year 1(Dec 24 - Jun 2025)</t>
  </si>
  <si>
    <t>Year 2(Jul 2025 - Jun 2026)</t>
  </si>
  <si>
    <t>Year 3(Jul 2026 - Sep 2027)</t>
  </si>
  <si>
    <t>Human Resource</t>
  </si>
  <si>
    <t>Consultancy (Firm and indviduals)</t>
  </si>
  <si>
    <t>Data validation/acquisition charges</t>
  </si>
  <si>
    <t>NADRA</t>
  </si>
  <si>
    <t>PLRA</t>
  </si>
  <si>
    <t>Caps and Jackets for Registration Interns</t>
  </si>
  <si>
    <t>R&amp;M Transport</t>
  </si>
  <si>
    <t>Mobile Allowance</t>
  </si>
  <si>
    <t>Purchase of Vehicle</t>
  </si>
  <si>
    <t>Purchase of Hardware/IT Equipment</t>
  </si>
  <si>
    <t>Utilities</t>
  </si>
  <si>
    <t xml:space="preserve">Allowance for UC staff  @ Rs. 50 per registration </t>
  </si>
  <si>
    <t>Honorrarium</t>
  </si>
  <si>
    <t>Others (Contingencies)</t>
  </si>
  <si>
    <t>HR</t>
  </si>
  <si>
    <t>Year 1 (April 2025-June 2025)</t>
  </si>
  <si>
    <t>Year 2 (July-2025-June 2026)</t>
  </si>
  <si>
    <t>Year 3 (July-2026-June 2027)</t>
  </si>
  <si>
    <t>Total Annual Salary</t>
  </si>
  <si>
    <t xml:space="preserve"> Months </t>
  </si>
  <si>
    <t xml:space="preserve"> Monthly Salary ** </t>
  </si>
  <si>
    <t>% Annual Increment</t>
  </si>
  <si>
    <t>Monthly Salary Increment</t>
  </si>
  <si>
    <t>Total Salary Per Month After Annual Increment</t>
  </si>
  <si>
    <t>Project Director</t>
  </si>
  <si>
    <t>Deputy Director (Coordination)</t>
  </si>
  <si>
    <t>Coordination Officer</t>
  </si>
  <si>
    <t>Finance, Legal, and Procurement</t>
  </si>
  <si>
    <t>Additional Director Finance</t>
  </si>
  <si>
    <t>Deputy Director Finance</t>
  </si>
  <si>
    <t>Accounts Officer</t>
  </si>
  <si>
    <t>Audit Officer</t>
  </si>
  <si>
    <t>Manager Legal</t>
  </si>
  <si>
    <t>Manager Procurement &amp; Contracts</t>
  </si>
  <si>
    <t>Procurement Officer</t>
  </si>
  <si>
    <t>Research Wing</t>
  </si>
  <si>
    <t>Senior Manager Research</t>
  </si>
  <si>
    <t>Survey Specialist</t>
  </si>
  <si>
    <t>Research Analyst</t>
  </si>
  <si>
    <t>Field Operations</t>
  </si>
  <si>
    <t>Addl. Director (Field Operations)</t>
  </si>
  <si>
    <t>Deputy Director (Field Operations)</t>
  </si>
  <si>
    <t>Deputy Director (GRM)</t>
  </si>
  <si>
    <t>GRM officers</t>
  </si>
  <si>
    <t>Field Formation</t>
  </si>
  <si>
    <t>Divisional Managers*</t>
  </si>
  <si>
    <t>District Managers*</t>
  </si>
  <si>
    <t>MIS Wing</t>
  </si>
  <si>
    <t>Director IT Operations</t>
  </si>
  <si>
    <t>Additional Director Software Development</t>
  </si>
  <si>
    <t>Additional Director Data Warehouse</t>
  </si>
  <si>
    <t>Information Security Specialist</t>
  </si>
  <si>
    <t>Cyber Security Specialist</t>
  </si>
  <si>
    <t>Network Security Specialist</t>
  </si>
  <si>
    <t>Deputy  Director Database</t>
  </si>
  <si>
    <t xml:space="preserve">System Analyst </t>
  </si>
  <si>
    <t>Technical Writer</t>
  </si>
  <si>
    <t>Admin &amp; HR Wing</t>
  </si>
  <si>
    <t>Manager HR &amp; Admin</t>
  </si>
  <si>
    <t>HR Officer</t>
  </si>
  <si>
    <t>Admin Officer</t>
  </si>
  <si>
    <t>Communication Wing</t>
  </si>
  <si>
    <t>Additional Director Communication</t>
  </si>
  <si>
    <t>Deputy Director Communication</t>
  </si>
  <si>
    <t xml:space="preserve">Graphic Designer </t>
  </si>
  <si>
    <t xml:space="preserve">Support Staff </t>
  </si>
  <si>
    <t>Office Assistant</t>
  </si>
  <si>
    <t>Dispatch Riders</t>
  </si>
  <si>
    <t>Driver</t>
  </si>
  <si>
    <t>Office Boy</t>
  </si>
  <si>
    <t>* The salary includes Rs. 50,000 as transporation allowance</t>
  </si>
  <si>
    <t xml:space="preserve">** The salaries have been indicated as the highest level of the respective PPS scale. However, actual salary will be determined at the time of selection, based on the credentails of the candidates, within the indicated PPS scale. </t>
  </si>
  <si>
    <t xml:space="preserve">Item </t>
  </si>
  <si>
    <t>Units</t>
  </si>
  <si>
    <t>Yearly Total</t>
  </si>
  <si>
    <t>Survey Staffing</t>
  </si>
  <si>
    <t>QC Analyst (Division Level)</t>
  </si>
  <si>
    <t xml:space="preserve">Surveyors </t>
  </si>
  <si>
    <t>Sub-Total</t>
  </si>
  <si>
    <t>Operational Expenses</t>
  </si>
  <si>
    <t>Survey Kits</t>
  </si>
  <si>
    <t>Divisional &amp; District Trainings</t>
  </si>
  <si>
    <t>Internet+ Mobile internet</t>
  </si>
  <si>
    <t>Travel &amp; TA/DA (Lumpsum)</t>
  </si>
  <si>
    <t>Contingency @2%</t>
  </si>
  <si>
    <t>Grand Total</t>
  </si>
  <si>
    <t>Punjab Socio Economic Registery (PSER), 2024</t>
  </si>
  <si>
    <t>Budget Estimates (Tentative)</t>
  </si>
  <si>
    <t>Item #</t>
  </si>
  <si>
    <t>Details of Expenditure</t>
  </si>
  <si>
    <t>Unit</t>
  </si>
  <si>
    <t>Quantity</t>
  </si>
  <si>
    <t>Cost</t>
  </si>
  <si>
    <t>Table</t>
  </si>
  <si>
    <t>Defined</t>
  </si>
  <si>
    <t>2023-24</t>
  </si>
  <si>
    <t>Reference</t>
  </si>
  <si>
    <t>C</t>
  </si>
  <si>
    <t xml:space="preserve">Sampling </t>
  </si>
  <si>
    <t>Selection of PSU and SSU</t>
  </si>
  <si>
    <t>Man-day</t>
  </si>
  <si>
    <t>Supervision of Sampling Process</t>
  </si>
  <si>
    <t>D</t>
  </si>
  <si>
    <t>Supervision and monitoring</t>
  </si>
  <si>
    <t>DSA for Monitoring of F/Work &amp; Trainings by officers 19 &amp; above</t>
  </si>
  <si>
    <t>Day trip</t>
  </si>
  <si>
    <t>Vehicle and POL of Monitoring by officer 19 &amp; above</t>
  </si>
  <si>
    <t>vehicle arrangments</t>
  </si>
  <si>
    <t xml:space="preserve">DSA for Field work monitoring of officer 17 &amp; 18 including </t>
  </si>
  <si>
    <t>Vehicle and POL of Monitoring by officer 17 &amp; 18</t>
  </si>
  <si>
    <t>E</t>
  </si>
  <si>
    <t>Training</t>
  </si>
  <si>
    <t>F</t>
  </si>
  <si>
    <t>List</t>
  </si>
  <si>
    <t>G</t>
  </si>
  <si>
    <t>Survey office and Institutional Arrangments</t>
  </si>
  <si>
    <t>Refereshment/ tea for office meetings</t>
  </si>
  <si>
    <t>Meeting</t>
  </si>
  <si>
    <t>Facilitation to Survey Manager</t>
  </si>
  <si>
    <t>Man-Days</t>
  </si>
  <si>
    <t xml:space="preserve">Facilitation to Survey coordinator </t>
  </si>
  <si>
    <t>Activity Manager</t>
  </si>
  <si>
    <t xml:space="preserve">Accounts management (preparation of field staff bills, approvals and cheques along with registers and cashbook etc.) </t>
  </si>
  <si>
    <t xml:space="preserve">Supervision of accounts management (preparation of field staff bills, approvals and cheques along with registers and cashbook etc.) </t>
  </si>
  <si>
    <t>Physical Contingency@2.5%</t>
  </si>
  <si>
    <t>Percent</t>
  </si>
  <si>
    <t>Million Rs.</t>
  </si>
  <si>
    <t>ISU</t>
  </si>
  <si>
    <t>Year 1(Dec - Jun 2025)</t>
  </si>
  <si>
    <t>Conference / Seminars / Trainings</t>
  </si>
  <si>
    <t xml:space="preserve"> </t>
  </si>
  <si>
    <t xml:space="preserve"> Monthly Salary </t>
  </si>
  <si>
    <t>Salary Year 1</t>
  </si>
  <si>
    <t>Salary Year 2</t>
  </si>
  <si>
    <t>Salary Year 3</t>
  </si>
  <si>
    <t>(December 2024-June 2025)</t>
  </si>
  <si>
    <t>(July-2025-June 2026)</t>
  </si>
  <si>
    <t>(July-2026-June 2027)</t>
  </si>
  <si>
    <t>Account Officer</t>
  </si>
  <si>
    <t>A</t>
  </si>
  <si>
    <t>B</t>
  </si>
  <si>
    <t>Training of trainers (TOT) for Registration form (1 days)</t>
  </si>
  <si>
    <t>Table A</t>
  </si>
  <si>
    <t>Training of registration staff at divisional level</t>
  </si>
  <si>
    <t>Table B</t>
  </si>
  <si>
    <t>Training of trainers (TOT) (3 days)</t>
  </si>
  <si>
    <t>Table C</t>
  </si>
  <si>
    <t>Training of verifier/supervisors (04 days)</t>
  </si>
  <si>
    <t>Table D</t>
  </si>
  <si>
    <t>Dvelopment of tools and Desk Testing CAPI</t>
  </si>
  <si>
    <t>Table E</t>
  </si>
  <si>
    <t>Physical Contingency@2%</t>
  </si>
  <si>
    <t>Table F</t>
  </si>
  <si>
    <t>Sr.#</t>
  </si>
  <si>
    <t>Object code Description</t>
  </si>
  <si>
    <t>Hiring of Work Charge Staff by District Administration (150 days)</t>
  </si>
  <si>
    <t>Advertising and Publicity</t>
  </si>
  <si>
    <t>Banners and Standees</t>
  </si>
  <si>
    <t>District</t>
  </si>
  <si>
    <t>Interns to be hired</t>
  </si>
  <si>
    <t>Dec-Jun 2025</t>
  </si>
  <si>
    <t>Attock</t>
  </si>
  <si>
    <t>Bahawalnagar</t>
  </si>
  <si>
    <t xml:space="preserve">Bahawalpur </t>
  </si>
  <si>
    <t>Bhakkar</t>
  </si>
  <si>
    <t>Chakwal</t>
  </si>
  <si>
    <t>Chiniot</t>
  </si>
  <si>
    <t>D.G.Khan</t>
  </si>
  <si>
    <t>Faisalabad</t>
  </si>
  <si>
    <t>Gujranwala</t>
  </si>
  <si>
    <t>Gujrat</t>
  </si>
  <si>
    <t>Hafizabad</t>
  </si>
  <si>
    <t>Jhang</t>
  </si>
  <si>
    <t>Jhelum</t>
  </si>
  <si>
    <t>Kasur</t>
  </si>
  <si>
    <t>Khanewal</t>
  </si>
  <si>
    <t>Khushab</t>
  </si>
  <si>
    <t>Kot Addu</t>
  </si>
  <si>
    <t>Lahore</t>
  </si>
  <si>
    <t>Layyah</t>
  </si>
  <si>
    <t>Lodhran</t>
  </si>
  <si>
    <t>M.B.Din</t>
  </si>
  <si>
    <t>Mianwali</t>
  </si>
  <si>
    <t xml:space="preserve">Multan </t>
  </si>
  <si>
    <t>Murree</t>
  </si>
  <si>
    <t>Muzaffargarh</t>
  </si>
  <si>
    <t>Nankana Sahib</t>
  </si>
  <si>
    <t>Narowal</t>
  </si>
  <si>
    <t>Okara</t>
  </si>
  <si>
    <t>Pakpattan</t>
  </si>
  <si>
    <t>R.Y.Khan</t>
  </si>
  <si>
    <t>Rajanpur</t>
  </si>
  <si>
    <t xml:space="preserve">Rawalpindi </t>
  </si>
  <si>
    <t>Sahiwal</t>
  </si>
  <si>
    <t>Sargodha</t>
  </si>
  <si>
    <t>Sheikhupura</t>
  </si>
  <si>
    <t>Sialkot</t>
  </si>
  <si>
    <t>T.T.Singh</t>
  </si>
  <si>
    <t>Talagang</t>
  </si>
  <si>
    <t>Vehari</t>
  </si>
  <si>
    <t xml:space="preserve">Wazirabad </t>
  </si>
  <si>
    <t>Dec-Mar 2025</t>
  </si>
  <si>
    <t>Heads of Accounts</t>
  </si>
  <si>
    <t>Monthly Rate</t>
  </si>
  <si>
    <t>Survey Supervisor / Managers (District Level)</t>
  </si>
  <si>
    <t>A01156-Pay of Contract Staff</t>
  </si>
  <si>
    <t>A02202-Exploratory Operation</t>
  </si>
  <si>
    <t>Vehicles with Fuel - Fuel &amp; Oil</t>
  </si>
  <si>
    <t>A03807-POL Charges</t>
  </si>
  <si>
    <t>Vehicles with Fuel - Vehicle Rental</t>
  </si>
  <si>
    <t>A03904-Hire of Vehicle</t>
  </si>
  <si>
    <t>A03821-Training-Domestic</t>
  </si>
  <si>
    <t>A03204-Electronic Communication</t>
  </si>
  <si>
    <t>A03805-Travelling Allowance</t>
  </si>
  <si>
    <t>Communication &amp; Printing (Lumpsum)</t>
  </si>
  <si>
    <t>A03902-Printing &amp; Publication</t>
  </si>
  <si>
    <t>Other Administrative Expenses</t>
  </si>
  <si>
    <t>A03970-General Others Expenses</t>
  </si>
  <si>
    <t>July 2026-June 2027</t>
  </si>
  <si>
    <t>December 2024-June 2025</t>
  </si>
  <si>
    <t>July 2025- June 2026</t>
  </si>
  <si>
    <t xml:space="preserve"> Programme Coordinator</t>
  </si>
  <si>
    <t xml:space="preserve"> Peon</t>
  </si>
  <si>
    <t>Category</t>
  </si>
  <si>
    <t>Sub-Head</t>
  </si>
  <si>
    <t>Salaries</t>
  </si>
  <si>
    <t>H.Office</t>
  </si>
  <si>
    <t>Field</t>
  </si>
  <si>
    <t>Reward</t>
  </si>
  <si>
    <t>Reward for UC Staff</t>
  </si>
  <si>
    <t>Data Acquisition Charges</t>
  </si>
  <si>
    <t>NADRA, PLRA, Others</t>
  </si>
  <si>
    <t>Communication</t>
  </si>
  <si>
    <t>Campaign etc.</t>
  </si>
  <si>
    <t>Consultancies</t>
  </si>
  <si>
    <t>PMT</t>
  </si>
  <si>
    <t>Others Op. Exp.</t>
  </si>
  <si>
    <t>Ops etc.</t>
  </si>
  <si>
    <t>U.Unit</t>
  </si>
  <si>
    <t xml:space="preserve">Allocation 
</t>
  </si>
  <si>
    <t xml:space="preserve">% </t>
  </si>
  <si>
    <t xml:space="preserve">Amounts in million Rs. </t>
  </si>
  <si>
    <t>HR Salaries</t>
  </si>
  <si>
    <t xml:space="preserve">Reward &amp; Honararium </t>
  </si>
  <si>
    <t>Data Acquisition
Charges</t>
  </si>
  <si>
    <t>Development of tools and Desk Testing of CAPI</t>
  </si>
  <si>
    <t>Contingency</t>
  </si>
  <si>
    <t>Dist-admin</t>
  </si>
  <si>
    <t>Difference</t>
  </si>
  <si>
    <t>Orginal Budget</t>
  </si>
  <si>
    <t>New Budget Allocation (Rs million)</t>
  </si>
  <si>
    <t>Dec 2024 - Jun 2025</t>
  </si>
  <si>
    <t>NADRA-Data</t>
  </si>
  <si>
    <t>PLRA-Data</t>
  </si>
  <si>
    <t>Travelling Allowance- PSPA staff</t>
  </si>
  <si>
    <t xml:space="preserve">Reward for UC staff  @ Rs. 50 per registration </t>
  </si>
  <si>
    <t>PSPA Staff</t>
  </si>
  <si>
    <t>Human Resources</t>
  </si>
  <si>
    <t>Payment to Others (SMS, Robo-calls, call centre)</t>
  </si>
  <si>
    <t>Others Op. Exp. (Office / VehicleRent, POL, Furniture etc)</t>
  </si>
  <si>
    <t>New Budget Allocation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</si>
</sst>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3" formatCode="_-* #,##0.00_-;\-* #,##0.00_-;_-* &quot;-&quot;??_-;_-@_-"/>
    <numFmt numFmtId="164" formatCode="_(* #,##0.00_);_(* \(#,##0.00\);_(* &quot;-&quot;??_);_(@_)"/>
    <numFmt numFmtId="165" formatCode="_(* #,##0_);_(* \(#,##0\);_(* &quot;-&quot;??_);_(@_)"/>
    <numFmt numFmtId="166" formatCode="0.00;[Red]0.00"/>
    <numFmt numFmtId="167" formatCode="_(* #,##0.000_);_(* \(#,##0.000\);_(* &quot;-&quot;???_);_(@_)"/>
    <numFmt numFmtId="168" formatCode="#,##0.00;[Red]#,##0.00"/>
    <numFmt numFmtId="169" formatCode="_-* #,##0_-;\-* #,##0_-;_-* &quot;-&quot;??_-;_-@_-"/>
    <numFmt numFmtId="170" formatCode="_(* #,##0.000_);_(* \(#,##0.000\);_(* &quot;-&quot;??_);_(@_)"/>
    <numFmt numFmtId="171" formatCode="_-* #,##0.000_-;\-* #,##0.000_-;_-* &quot;-&quot;??_-;_-@_-"/>
    <numFmt numFmtId="172" formatCode="0.0%"/>
    <numFmt numFmtId="173" formatCode="#,##0.000"/>
    <numFmt numFmtId="174" formatCode="#,##0.0000"/>
    <numFmt numFmtId="182" formatCode="_-* #,##0.00_-;\-* #,##0.00_-;_-* &quot;-&quot;??_-;_-@_-"/>
  </numFmts>
  <fonts count="45"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12"/>
      <color theme="1"/>
      <name val="Calibri"/>
      <family val="2"/>
      <scheme val="minor"/>
    </font>
    <font>
      <sz val="12"/>
      <color theme="1"/>
      <name val="Calibri"/>
      <family val="2"/>
      <scheme val="minor"/>
    </font>
    <font>
      <sz val="12"/>
      <name val="Calibri"/>
      <family val="2"/>
      <scheme val="minor"/>
    </font>
    <font>
      <b/>
      <sz val="12"/>
      <color theme="0"/>
      <name val="Calibri"/>
      <family val="2"/>
      <scheme val="minor"/>
    </font>
    <font>
      <b/>
      <sz val="11"/>
      <name val="Calibri"/>
      <family val="2"/>
      <scheme val="minor"/>
    </font>
    <font>
      <b/>
      <i/>
      <sz val="11"/>
      <color theme="1"/>
      <name val="Calibri"/>
      <family val="2"/>
      <scheme val="minor"/>
    </font>
    <font>
      <b/>
      <sz val="12"/>
      <color rgb="FF000000"/>
      <name val="Times New Roman"/>
      <family val="1"/>
    </font>
    <font>
      <sz val="12"/>
      <color rgb="FF000000"/>
      <name val="Times New Roman"/>
      <family val="1"/>
    </font>
    <font>
      <sz val="11"/>
      <color rgb="FF000000"/>
      <name val="Calibri"/>
      <family val="2"/>
      <scheme val="minor"/>
    </font>
    <font>
      <b/>
      <sz val="12"/>
      <color theme="1"/>
      <name val="Times New Roman"/>
      <family val="1"/>
    </font>
    <font>
      <sz val="12"/>
      <color theme="1"/>
      <name val="Times New Roman"/>
      <family val="1"/>
    </font>
    <font>
      <sz val="12"/>
      <name val="Times New Roman"/>
      <family val="1"/>
    </font>
    <font>
      <b/>
      <sz val="9"/>
      <color rgb="FF000000"/>
      <name val="Times New Roman"/>
      <family val="1"/>
    </font>
    <font>
      <sz val="9"/>
      <name val="Times New Roman"/>
      <family val="1"/>
    </font>
    <font>
      <sz val="9"/>
      <color rgb="FFFF0000"/>
      <name val="Times New Roman"/>
      <family val="1"/>
    </font>
    <font>
      <sz val="9"/>
      <color theme="0"/>
      <name val="Times New Roman"/>
      <family val="1"/>
    </font>
    <font>
      <b/>
      <sz val="9"/>
      <color theme="0"/>
      <name val="Times New Roman"/>
      <family val="1"/>
    </font>
    <font>
      <sz val="12"/>
      <color rgb="FF590000"/>
      <name val="Times New Roman"/>
      <family val="1"/>
    </font>
    <font>
      <sz val="12"/>
      <color rgb="FFFF0000"/>
      <name val="Times New Roman"/>
      <family val="1"/>
    </font>
    <font>
      <sz val="8"/>
      <name val="Arial"/>
      <family val="2"/>
    </font>
    <font>
      <b/>
      <u/>
      <sz val="22"/>
      <name val="Times New Roman"/>
      <family val="1"/>
    </font>
    <font>
      <sz val="11"/>
      <name val="Times New Roman"/>
      <family val="1"/>
    </font>
    <font>
      <b/>
      <sz val="20"/>
      <name val="Times New Roman"/>
      <family val="1"/>
    </font>
    <font>
      <sz val="16"/>
      <name val="Times New Roman"/>
      <family val="1"/>
    </font>
    <font>
      <b/>
      <sz val="10"/>
      <name val="Times New Roman"/>
      <family val="1"/>
    </font>
    <font>
      <sz val="10"/>
      <name val="Times New Roman"/>
      <family val="1"/>
    </font>
    <font>
      <sz val="8"/>
      <name val="Times New Roman"/>
      <family val="1"/>
    </font>
    <font>
      <b/>
      <sz val="8"/>
      <name val="Times New Roman"/>
      <family val="1"/>
    </font>
    <font>
      <b/>
      <sz val="11"/>
      <name val="Times New Roman"/>
      <family val="1"/>
    </font>
    <font>
      <b/>
      <sz val="11"/>
      <color theme="1" tint="4.9989318521683403E-2"/>
      <name val="Times New Roman"/>
      <family val="1"/>
    </font>
    <font>
      <sz val="11"/>
      <color theme="1" tint="4.9989318521683403E-2"/>
      <name val="Times New Roman"/>
      <family val="1"/>
    </font>
    <font>
      <b/>
      <sz val="14"/>
      <color rgb="FF000000"/>
      <name val="Times New Roman"/>
      <family val="1"/>
    </font>
    <font>
      <b/>
      <sz val="11"/>
      <color rgb="FF000000"/>
      <name val="Times New Roman"/>
      <family val="1"/>
    </font>
    <font>
      <sz val="11"/>
      <color theme="1"/>
      <name val="Times New Roman"/>
      <family val="1"/>
    </font>
    <font>
      <sz val="11"/>
      <color rgb="FF000000"/>
      <name val="Times New Roman"/>
      <family val="1"/>
    </font>
    <font>
      <b/>
      <sz val="11"/>
      <color theme="1"/>
      <name val="Times New Roman"/>
      <family val="1"/>
    </font>
    <font>
      <u/>
      <sz val="11"/>
      <color theme="10"/>
      <name val="Calibri"/>
      <family val="2"/>
      <scheme val="minor"/>
    </font>
    <font>
      <sz val="10"/>
      <name val="Arial"/>
      <family val="2"/>
    </font>
    <font>
      <sz val="8.5"/>
      <color theme="1"/>
      <name val="Times New Roman"/>
      <family val="1"/>
    </font>
    <font>
      <b/>
      <sz val="8.5"/>
      <name val="Times New Roman"/>
      <family val="1"/>
    </font>
    <font>
      <sz val="14"/>
      <color theme="1"/>
      <name val="Times New Roman"/>
      <family val="1"/>
    </font>
  </fonts>
  <fills count="31">
    <fill>
      <patternFill patternType="none"/>
    </fill>
    <fill>
      <patternFill patternType="gray125"/>
    </fill>
    <fill>
      <patternFill patternType="solid">
        <fgColor theme="2" tint="-9.9978637043366805E-2"/>
        <bgColor indexed="64"/>
      </patternFill>
    </fill>
    <fill>
      <patternFill patternType="solid">
        <fgColor theme="0"/>
        <bgColor indexed="64"/>
      </patternFill>
    </fill>
    <fill>
      <patternFill patternType="solid">
        <fgColor theme="1"/>
        <bgColor indexed="64"/>
      </patternFill>
    </fill>
    <fill>
      <patternFill patternType="solid">
        <fgColor theme="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CCCCCC"/>
        <bgColor indexed="64"/>
      </patternFill>
    </fill>
    <fill>
      <patternFill patternType="solid">
        <fgColor theme="3" tint="0.79998168889431442"/>
        <bgColor indexed="64"/>
      </patternFill>
    </fill>
    <fill>
      <patternFill patternType="solid">
        <fgColor rgb="FFCFCDCD"/>
        <bgColor indexed="64"/>
      </patternFill>
    </fill>
    <fill>
      <patternFill patternType="solid">
        <fgColor rgb="FFFFFF00"/>
        <bgColor indexed="64"/>
      </patternFill>
    </fill>
    <fill>
      <patternFill patternType="solid">
        <fgColor rgb="FFE7E6E6"/>
        <bgColor indexed="64"/>
      </patternFill>
    </fill>
    <fill>
      <patternFill patternType="solid">
        <fgColor rgb="FFD0CECE"/>
        <bgColor indexed="64"/>
      </patternFill>
    </fill>
    <fill>
      <patternFill patternType="solid">
        <fgColor rgb="FFD9D9D9"/>
        <bgColor indexed="64"/>
      </patternFill>
    </fill>
    <fill>
      <patternFill patternType="solid">
        <fgColor rgb="FFFFFFFF"/>
        <bgColor indexed="64"/>
      </patternFill>
    </fill>
    <fill>
      <patternFill patternType="solid">
        <fgColor theme="4" tint="0.79998168889431442"/>
        <bgColor indexed="64"/>
      </patternFill>
    </fill>
    <fill>
      <patternFill patternType="solid">
        <fgColor indexed="65"/>
        <bgColor indexed="64"/>
      </patternFill>
    </fill>
    <fill>
      <patternFill patternType="solid">
        <fgColor indexed="31"/>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theme="4" tint="0.39997558519241921"/>
        <bgColor indexed="64"/>
      </patternFill>
    </fill>
    <fill>
      <patternFill patternType="solid">
        <fgColor rgb="FFDC3939"/>
        <bgColor indexed="64"/>
      </patternFill>
    </fill>
    <fill>
      <patternFill patternType="solid">
        <fgColor rgb="FFF88380"/>
        <bgColor indexed="64"/>
      </patternFill>
    </fill>
    <fill>
      <patternFill patternType="solid">
        <fgColor theme="2" tint="-0.249977111117893"/>
        <bgColor indexed="64"/>
      </patternFill>
    </fill>
    <fill>
      <patternFill patternType="solid">
        <fgColor rgb="FFFFEACA"/>
        <bgColor indexed="64"/>
      </patternFill>
    </fill>
  </fills>
  <borders count="6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rgb="FF666666"/>
      </left>
      <right style="medium">
        <color rgb="FF666666"/>
      </right>
      <top style="medium">
        <color rgb="FF666666"/>
      </top>
      <bottom style="thick">
        <color rgb="FF666666"/>
      </bottom>
      <diagonal/>
    </border>
    <border>
      <left/>
      <right style="medium">
        <color rgb="FF666666"/>
      </right>
      <top style="medium">
        <color rgb="FF666666"/>
      </top>
      <bottom style="thick">
        <color rgb="FF666666"/>
      </bottom>
      <diagonal/>
    </border>
    <border>
      <left style="medium">
        <color rgb="FF666666"/>
      </left>
      <right style="medium">
        <color rgb="FF666666"/>
      </right>
      <top/>
      <bottom style="medium">
        <color rgb="FF666666"/>
      </bottom>
      <diagonal/>
    </border>
    <border>
      <left/>
      <right style="medium">
        <color rgb="FF666666"/>
      </right>
      <top/>
      <bottom style="medium">
        <color rgb="FF666666"/>
      </bottom>
      <diagonal/>
    </border>
    <border>
      <left style="medium">
        <color rgb="FF666666"/>
      </left>
      <right style="medium">
        <color rgb="FF666666"/>
      </right>
      <top style="thick">
        <color rgb="FF666666"/>
      </top>
      <bottom/>
      <diagonal/>
    </border>
    <border>
      <left style="medium">
        <color rgb="FF666666"/>
      </left>
      <right style="medium">
        <color rgb="FF666666"/>
      </right>
      <top/>
      <bottom/>
      <diagonal/>
    </border>
    <border>
      <left/>
      <right/>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thin">
        <color indexed="64"/>
      </top>
      <bottom style="medium">
        <color indexed="64"/>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style="medium">
        <color rgb="FF000000"/>
      </top>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rgb="FF418AB3"/>
      </left>
      <right style="medium">
        <color rgb="FF418AB3"/>
      </right>
      <top style="medium">
        <color rgb="FF418AB3"/>
      </top>
      <bottom style="medium">
        <color rgb="FF418AB3"/>
      </bottom>
      <diagonal/>
    </border>
    <border>
      <left style="medium">
        <color rgb="FF418AB3"/>
      </left>
      <right style="medium">
        <color rgb="FF418AB3"/>
      </right>
      <top style="medium">
        <color rgb="FF418AB3"/>
      </top>
      <bottom/>
      <diagonal/>
    </border>
    <border>
      <left style="medium">
        <color rgb="FF418AB3"/>
      </left>
      <right style="medium">
        <color rgb="FF418AB3"/>
      </right>
      <top/>
      <bottom style="medium">
        <color rgb="FF418AB3"/>
      </bottom>
      <diagonal/>
    </border>
    <border>
      <left style="medium">
        <color rgb="FF418AB3"/>
      </left>
      <right/>
      <top style="medium">
        <color rgb="FF418AB3"/>
      </top>
      <bottom style="medium">
        <color rgb="FF418AB3"/>
      </bottom>
      <diagonal/>
    </border>
    <border>
      <left/>
      <right style="medium">
        <color rgb="FF418AB3"/>
      </right>
      <top style="medium">
        <color rgb="FF418AB3"/>
      </top>
      <bottom style="medium">
        <color rgb="FF418AB3"/>
      </bottom>
      <diagonal/>
    </border>
    <border>
      <left style="thin">
        <color indexed="64"/>
      </left>
      <right style="thin">
        <color indexed="64"/>
      </right>
      <top style="thin">
        <color indexed="64"/>
      </top>
      <bottom style="mediumDashed">
        <color indexed="64"/>
      </bottom>
      <diagonal/>
    </border>
    <border>
      <left style="thin">
        <color indexed="64"/>
      </left>
      <right style="thin">
        <color indexed="64"/>
      </right>
      <top style="mediumDashed">
        <color indexed="64"/>
      </top>
      <bottom style="mediumDashed">
        <color indexed="64"/>
      </bottom>
      <diagonal/>
    </border>
    <border>
      <left style="thin">
        <color indexed="64"/>
      </left>
      <right style="thin">
        <color indexed="64"/>
      </right>
      <top style="mediumDashed">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s>
  <cellStyleXfs count="15">
    <xf numFmtId="0" fontId="0" fillId="0" borderId="0"/>
    <xf numFmtId="43"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0" fontId="1" fillId="0" borderId="0"/>
    <xf numFmtId="0" fontId="23" fillId="0" borderId="0"/>
    <xf numFmtId="164" fontId="23" fillId="0" borderId="0" applyFont="0" applyFill="0" applyBorder="0" applyAlignment="0" applyProtection="0"/>
    <xf numFmtId="0" fontId="23" fillId="0" borderId="0"/>
    <xf numFmtId="43" fontId="23" fillId="0" borderId="0" applyFont="0" applyFill="0" applyBorder="0" applyAlignment="0" applyProtection="0"/>
    <xf numFmtId="0" fontId="40" fillId="0" borderId="0" applyNumberFormat="0" applyFill="0" applyBorder="0" applyAlignment="0" applyProtection="0"/>
    <xf numFmtId="43" fontId="1" fillId="0" borderId="0" applyFont="0" applyFill="0" applyBorder="0" applyAlignment="0" applyProtection="0"/>
    <xf numFmtId="182" fontId="1" fillId="0" borderId="0" applyFont="0" applyFill="0" applyBorder="0" applyAlignment="0" applyProtection="0"/>
    <xf numFmtId="43" fontId="23" fillId="0" borderId="0" applyFont="0" applyFill="0" applyBorder="0" applyAlignment="0" applyProtection="0"/>
    <xf numFmtId="182" fontId="23" fillId="0" borderId="0" applyFont="0" applyFill="0" applyBorder="0" applyAlignment="0" applyProtection="0"/>
    <xf numFmtId="182" fontId="41" fillId="0" borderId="0" applyFont="0" applyFill="0" applyBorder="0" applyAlignment="0" applyProtection="0"/>
  </cellStyleXfs>
  <cellXfs count="554">
    <xf numFmtId="0" fontId="0" fillId="0" borderId="0" xfId="0"/>
    <xf numFmtId="0" fontId="4" fillId="2" borderId="1" xfId="0" applyFont="1" applyFill="1" applyBorder="1" applyAlignment="1">
      <alignment horizontal="center" vertical="center" wrapText="1"/>
    </xf>
    <xf numFmtId="0" fontId="5" fillId="3" borderId="1" xfId="0" applyFont="1" applyFill="1" applyBorder="1" applyAlignment="1">
      <alignment horizontal="center" vertical="center"/>
    </xf>
    <xf numFmtId="0" fontId="5" fillId="3" borderId="1" xfId="0" applyFont="1" applyFill="1" applyBorder="1" applyAlignment="1">
      <alignment vertical="center" wrapText="1"/>
    </xf>
    <xf numFmtId="166" fontId="5" fillId="3" borderId="1" xfId="0" applyNumberFormat="1" applyFont="1" applyFill="1" applyBorder="1" applyAlignment="1">
      <alignment horizontal="center" vertical="center"/>
    </xf>
    <xf numFmtId="0" fontId="3" fillId="4" borderId="1" xfId="0" applyFont="1" applyFill="1" applyBorder="1" applyAlignment="1">
      <alignment vertical="center"/>
    </xf>
    <xf numFmtId="0" fontId="7" fillId="4" borderId="1" xfId="0" applyFont="1" applyFill="1" applyBorder="1" applyAlignment="1">
      <alignment vertical="center"/>
    </xf>
    <xf numFmtId="165" fontId="7" fillId="4" borderId="1" xfId="0" applyNumberFormat="1" applyFont="1" applyFill="1" applyBorder="1" applyAlignment="1">
      <alignment horizontal="center" vertical="center"/>
    </xf>
    <xf numFmtId="2" fontId="7" fillId="4" borderId="1" xfId="0" applyNumberFormat="1" applyFont="1" applyFill="1" applyBorder="1" applyAlignment="1">
      <alignment horizontal="center" vertical="center"/>
    </xf>
    <xf numFmtId="167" fontId="7" fillId="4" borderId="1" xfId="0" applyNumberFormat="1" applyFont="1" applyFill="1" applyBorder="1" applyAlignment="1">
      <alignment vertical="center"/>
    </xf>
    <xf numFmtId="167" fontId="7" fillId="4" borderId="1" xfId="0" applyNumberFormat="1" applyFont="1" applyFill="1" applyBorder="1" applyAlignment="1">
      <alignment horizontal="center" vertical="center"/>
    </xf>
    <xf numFmtId="0" fontId="0" fillId="0" borderId="0" xfId="0" applyAlignment="1">
      <alignment horizontal="center"/>
    </xf>
    <xf numFmtId="0" fontId="0" fillId="3" borderId="0" xfId="0" applyFill="1"/>
    <xf numFmtId="165" fontId="4" fillId="2" borderId="1" xfId="3" applyNumberFormat="1" applyFont="1" applyFill="1" applyBorder="1" applyAlignment="1">
      <alignment horizontal="center" vertical="center" wrapText="1"/>
    </xf>
    <xf numFmtId="165" fontId="6" fillId="3" borderId="1" xfId="3" applyNumberFormat="1" applyFont="1" applyFill="1" applyBorder="1" applyAlignment="1">
      <alignment horizontal="center" vertical="center"/>
    </xf>
    <xf numFmtId="165" fontId="5" fillId="3" borderId="1" xfId="3" applyNumberFormat="1" applyFont="1" applyFill="1" applyBorder="1" applyAlignment="1">
      <alignment horizontal="center" vertical="center"/>
    </xf>
    <xf numFmtId="165" fontId="0" fillId="3" borderId="0" xfId="3" applyNumberFormat="1" applyFont="1" applyFill="1"/>
    <xf numFmtId="165" fontId="0" fillId="3" borderId="0" xfId="0" applyNumberFormat="1" applyFill="1"/>
    <xf numFmtId="165" fontId="6" fillId="3" borderId="1" xfId="3" applyNumberFormat="1" applyFont="1" applyFill="1" applyBorder="1" applyAlignment="1">
      <alignment horizontal="left" vertical="center"/>
    </xf>
    <xf numFmtId="0" fontId="2" fillId="5" borderId="1" xfId="0" applyFont="1" applyFill="1" applyBorder="1" applyAlignment="1">
      <alignment horizontal="center" vertical="center"/>
    </xf>
    <xf numFmtId="0" fontId="2" fillId="6" borderId="1" xfId="0" applyFont="1" applyFill="1" applyBorder="1" applyAlignment="1">
      <alignment horizontal="center" vertical="center"/>
    </xf>
    <xf numFmtId="165" fontId="2" fillId="6" borderId="1" xfId="3" applyNumberFormat="1" applyFont="1" applyFill="1" applyBorder="1" applyAlignment="1">
      <alignment horizontal="center" vertical="center"/>
    </xf>
    <xf numFmtId="0" fontId="0" fillId="3" borderId="1" xfId="0" applyFill="1" applyBorder="1" applyAlignment="1">
      <alignment horizontal="center" vertical="center"/>
    </xf>
    <xf numFmtId="0" fontId="0" fillId="3" borderId="1" xfId="0" applyFill="1" applyBorder="1" applyAlignment="1">
      <alignment vertical="center" wrapText="1"/>
    </xf>
    <xf numFmtId="0" fontId="0" fillId="3" borderId="1" xfId="0" applyFill="1" applyBorder="1" applyAlignment="1">
      <alignment horizontal="center" vertical="center" wrapText="1"/>
    </xf>
    <xf numFmtId="3" fontId="0" fillId="3" borderId="1" xfId="3" applyNumberFormat="1" applyFont="1" applyFill="1" applyBorder="1" applyAlignment="1">
      <alignment horizontal="center" vertical="center"/>
    </xf>
    <xf numFmtId="165" fontId="0" fillId="3" borderId="1" xfId="3" applyNumberFormat="1" applyFont="1" applyFill="1" applyBorder="1" applyAlignment="1">
      <alignment vertical="center"/>
    </xf>
    <xf numFmtId="165" fontId="0" fillId="3" borderId="1" xfId="0" applyNumberFormat="1" applyFill="1" applyBorder="1" applyAlignment="1">
      <alignment vertical="center"/>
    </xf>
    <xf numFmtId="0" fontId="0" fillId="3" borderId="1" xfId="0" applyFill="1" applyBorder="1" applyAlignment="1">
      <alignment horizontal="left" vertical="center" wrapText="1"/>
    </xf>
    <xf numFmtId="0" fontId="0" fillId="6" borderId="1" xfId="0" applyFill="1" applyBorder="1" applyAlignment="1">
      <alignment vertical="center"/>
    </xf>
    <xf numFmtId="0" fontId="2" fillId="6" borderId="1" xfId="0" applyFont="1" applyFill="1" applyBorder="1" applyAlignment="1">
      <alignment horizontal="right" vertical="center"/>
    </xf>
    <xf numFmtId="0" fontId="2" fillId="6" borderId="1" xfId="0" applyFont="1" applyFill="1" applyBorder="1" applyAlignment="1">
      <alignment vertical="center"/>
    </xf>
    <xf numFmtId="165" fontId="2" fillId="6" borderId="1" xfId="0" applyNumberFormat="1" applyFont="1" applyFill="1" applyBorder="1" applyAlignment="1">
      <alignment vertical="center"/>
    </xf>
    <xf numFmtId="165" fontId="2" fillId="6" borderId="1" xfId="3" applyNumberFormat="1" applyFont="1" applyFill="1" applyBorder="1" applyAlignment="1">
      <alignment vertical="center"/>
    </xf>
    <xf numFmtId="0" fontId="0" fillId="3" borderId="1" xfId="0" applyFill="1" applyBorder="1"/>
    <xf numFmtId="0" fontId="0" fillId="3" borderId="0" xfId="0" applyFill="1" applyAlignment="1">
      <alignment vertical="center"/>
    </xf>
    <xf numFmtId="0" fontId="0" fillId="0" borderId="0" xfId="0" applyAlignment="1">
      <alignment vertical="center"/>
    </xf>
    <xf numFmtId="0" fontId="2" fillId="7" borderId="1" xfId="0" applyFont="1" applyFill="1" applyBorder="1" applyAlignment="1">
      <alignment horizontal="center" vertical="center"/>
    </xf>
    <xf numFmtId="0" fontId="2" fillId="0" borderId="1" xfId="0" applyFont="1" applyBorder="1" applyAlignment="1">
      <alignment horizontal="center" vertical="center"/>
    </xf>
    <xf numFmtId="0" fontId="2" fillId="7" borderId="3" xfId="0" applyFont="1" applyFill="1" applyBorder="1" applyAlignment="1">
      <alignment horizontal="center" vertical="center"/>
    </xf>
    <xf numFmtId="0" fontId="0" fillId="0" borderId="1" xfId="0" applyBorder="1" applyAlignment="1">
      <alignment horizontal="center" vertical="center"/>
    </xf>
    <xf numFmtId="3" fontId="6" fillId="3" borderId="4" xfId="0" applyNumberFormat="1" applyFont="1" applyFill="1" applyBorder="1" applyAlignment="1">
      <alignment vertical="center" wrapText="1"/>
    </xf>
    <xf numFmtId="3" fontId="0" fillId="0" borderId="1" xfId="0" applyNumberFormat="1" applyBorder="1" applyAlignment="1">
      <alignment horizontal="center" vertical="center"/>
    </xf>
    <xf numFmtId="165" fontId="1" fillId="0" borderId="1" xfId="3" applyNumberFormat="1" applyFont="1" applyBorder="1" applyAlignment="1">
      <alignment horizontal="center" vertical="center"/>
    </xf>
    <xf numFmtId="165" fontId="0" fillId="0" borderId="1" xfId="0" applyNumberFormat="1" applyBorder="1" applyAlignment="1">
      <alignment horizontal="center" vertical="center"/>
    </xf>
    <xf numFmtId="165" fontId="0" fillId="0" borderId="1" xfId="0" applyNumberFormat="1" applyBorder="1" applyAlignment="1">
      <alignment vertical="center"/>
    </xf>
    <xf numFmtId="164" fontId="0" fillId="0" borderId="0" xfId="0" applyNumberFormat="1" applyAlignment="1">
      <alignment vertical="center"/>
    </xf>
    <xf numFmtId="164" fontId="0" fillId="0" borderId="1" xfId="3" applyFont="1" applyBorder="1" applyAlignment="1">
      <alignment vertical="center"/>
    </xf>
    <xf numFmtId="165" fontId="0" fillId="0" borderId="1" xfId="3" applyNumberFormat="1" applyFont="1" applyBorder="1" applyAlignment="1">
      <alignment vertical="center"/>
    </xf>
    <xf numFmtId="164" fontId="0" fillId="0" borderId="1" xfId="3" applyFont="1" applyBorder="1" applyAlignment="1">
      <alignment horizontal="center" vertical="center"/>
    </xf>
    <xf numFmtId="165" fontId="0" fillId="0" borderId="1" xfId="3" applyNumberFormat="1" applyFont="1" applyBorder="1" applyAlignment="1">
      <alignment horizontal="center" vertical="center"/>
    </xf>
    <xf numFmtId="165" fontId="1" fillId="0" borderId="1" xfId="3" applyNumberFormat="1" applyFont="1" applyBorder="1" applyAlignment="1">
      <alignment vertical="center"/>
    </xf>
    <xf numFmtId="3" fontId="1" fillId="0" borderId="1" xfId="3" applyNumberFormat="1" applyFont="1" applyBorder="1" applyAlignment="1">
      <alignment horizontal="center" vertical="center"/>
    </xf>
    <xf numFmtId="3" fontId="6" fillId="3" borderId="5" xfId="0" applyNumberFormat="1" applyFont="1" applyFill="1" applyBorder="1" applyAlignment="1">
      <alignment vertical="center" wrapText="1"/>
    </xf>
    <xf numFmtId="164" fontId="1" fillId="0" borderId="1" xfId="3" applyFont="1" applyBorder="1" applyAlignment="1">
      <alignment vertical="center"/>
    </xf>
    <xf numFmtId="3" fontId="6" fillId="0" borderId="4" xfId="0" applyNumberFormat="1" applyFont="1" applyBorder="1" applyAlignment="1">
      <alignment vertical="center" wrapText="1"/>
    </xf>
    <xf numFmtId="0" fontId="2" fillId="7" borderId="2" xfId="0" applyFont="1" applyFill="1" applyBorder="1" applyAlignment="1">
      <alignment vertical="center"/>
    </xf>
    <xf numFmtId="0" fontId="0" fillId="3" borderId="1" xfId="0" applyFill="1" applyBorder="1" applyAlignment="1">
      <alignment vertical="center"/>
    </xf>
    <xf numFmtId="3" fontId="0" fillId="3" borderId="1" xfId="0" applyNumberFormat="1" applyFill="1" applyBorder="1" applyAlignment="1">
      <alignment horizontal="center" vertical="center"/>
    </xf>
    <xf numFmtId="164" fontId="1" fillId="3" borderId="1" xfId="3" applyFont="1" applyFill="1" applyBorder="1" applyAlignment="1">
      <alignment vertical="center"/>
    </xf>
    <xf numFmtId="3" fontId="2" fillId="6" borderId="1" xfId="0" applyNumberFormat="1" applyFont="1" applyFill="1" applyBorder="1" applyAlignment="1">
      <alignment horizontal="center" vertical="center"/>
    </xf>
    <xf numFmtId="0" fontId="0" fillId="7" borderId="0" xfId="0" applyFill="1" applyAlignment="1">
      <alignment horizontal="center" vertical="center"/>
    </xf>
    <xf numFmtId="0" fontId="0" fillId="0" borderId="1" xfId="0" applyBorder="1" applyAlignment="1">
      <alignment vertical="center"/>
    </xf>
    <xf numFmtId="165" fontId="1" fillId="0" borderId="1" xfId="3" applyNumberFormat="1" applyFont="1" applyBorder="1" applyAlignment="1">
      <alignment horizontal="right" vertical="center"/>
    </xf>
    <xf numFmtId="165" fontId="0" fillId="6" borderId="1" xfId="3" applyNumberFormat="1" applyFont="1" applyFill="1" applyBorder="1" applyAlignment="1">
      <alignment horizontal="center" vertical="center"/>
    </xf>
    <xf numFmtId="0" fontId="0" fillId="5" borderId="0" xfId="0" applyFill="1" applyAlignment="1">
      <alignment horizontal="center" vertical="center"/>
    </xf>
    <xf numFmtId="165" fontId="1" fillId="3" borderId="1" xfId="3" applyNumberFormat="1" applyFont="1" applyFill="1" applyBorder="1" applyAlignment="1">
      <alignment vertical="center"/>
    </xf>
    <xf numFmtId="3" fontId="2" fillId="5" borderId="1" xfId="0" applyNumberFormat="1" applyFont="1" applyFill="1" applyBorder="1" applyAlignment="1">
      <alignment horizontal="center" vertical="center"/>
    </xf>
    <xf numFmtId="165" fontId="0" fillId="5" borderId="1" xfId="3" applyNumberFormat="1" applyFont="1" applyFill="1" applyBorder="1" applyAlignment="1">
      <alignment horizontal="center" vertical="center"/>
    </xf>
    <xf numFmtId="165" fontId="2" fillId="5" borderId="1" xfId="0" applyNumberFormat="1" applyFont="1" applyFill="1" applyBorder="1" applyAlignment="1">
      <alignment vertical="center"/>
    </xf>
    <xf numFmtId="165" fontId="2" fillId="5" borderId="1" xfId="3" applyNumberFormat="1" applyFont="1" applyFill="1" applyBorder="1" applyAlignment="1">
      <alignment horizontal="center" vertical="center"/>
    </xf>
    <xf numFmtId="0" fontId="9" fillId="3" borderId="0" xfId="0" applyFont="1" applyFill="1"/>
    <xf numFmtId="164" fontId="0" fillId="3" borderId="0" xfId="0" applyNumberFormat="1" applyFill="1"/>
    <xf numFmtId="168" fontId="0" fillId="0" borderId="1" xfId="0" applyNumberFormat="1" applyBorder="1" applyAlignment="1">
      <alignment horizontal="right" vertical="center"/>
    </xf>
    <xf numFmtId="165" fontId="0" fillId="5" borderId="1" xfId="0" applyNumberFormat="1" applyFill="1" applyBorder="1" applyAlignment="1">
      <alignment vertical="center"/>
    </xf>
    <xf numFmtId="164" fontId="0" fillId="3" borderId="1" xfId="3" applyFont="1" applyFill="1" applyBorder="1" applyAlignment="1">
      <alignment vertical="center"/>
    </xf>
    <xf numFmtId="0" fontId="10" fillId="0" borderId="14" xfId="0" applyFont="1" applyBorder="1" applyAlignment="1">
      <alignment horizontal="center" vertical="center"/>
    </xf>
    <xf numFmtId="0" fontId="10" fillId="0" borderId="15" xfId="0" applyFont="1" applyBorder="1" applyAlignment="1">
      <alignment horizontal="center" vertical="center"/>
    </xf>
    <xf numFmtId="0" fontId="10" fillId="0" borderId="16" xfId="0" applyFont="1" applyBorder="1" applyAlignment="1">
      <alignment horizontal="center" vertical="center"/>
    </xf>
    <xf numFmtId="0" fontId="11" fillId="0" borderId="17" xfId="0" applyFont="1" applyBorder="1" applyAlignment="1">
      <alignment horizontal="center" vertical="center"/>
    </xf>
    <xf numFmtId="10" fontId="11" fillId="8" borderId="17" xfId="0" applyNumberFormat="1" applyFont="1" applyFill="1" applyBorder="1" applyAlignment="1">
      <alignment horizontal="center" vertical="center"/>
    </xf>
    <xf numFmtId="0" fontId="10" fillId="8" borderId="16" xfId="0" applyFont="1" applyFill="1" applyBorder="1" applyAlignment="1">
      <alignment horizontal="center" vertical="center"/>
    </xf>
    <xf numFmtId="0" fontId="11" fillId="8" borderId="17" xfId="0" applyFont="1" applyFill="1" applyBorder="1" applyAlignment="1">
      <alignment horizontal="center" vertical="center"/>
    </xf>
    <xf numFmtId="0" fontId="12" fillId="0" borderId="16" xfId="0" applyFont="1" applyBorder="1" applyAlignment="1">
      <alignment vertical="center"/>
    </xf>
    <xf numFmtId="0" fontId="13" fillId="0" borderId="1" xfId="0" applyFont="1" applyBorder="1"/>
    <xf numFmtId="0" fontId="13" fillId="0" borderId="1" xfId="0" applyFont="1" applyBorder="1" applyAlignment="1">
      <alignment horizontal="center"/>
    </xf>
    <xf numFmtId="0" fontId="14" fillId="0" borderId="1" xfId="0" applyFont="1" applyBorder="1" applyAlignment="1">
      <alignment horizontal="center"/>
    </xf>
    <xf numFmtId="0" fontId="14" fillId="0" borderId="1" xfId="0" applyFont="1" applyBorder="1"/>
    <xf numFmtId="169" fontId="14" fillId="0" borderId="1" xfId="1" applyNumberFormat="1" applyFont="1" applyBorder="1" applyAlignment="1">
      <alignment horizontal="center"/>
    </xf>
    <xf numFmtId="169" fontId="14" fillId="0" borderId="1" xfId="1" applyNumberFormat="1" applyFont="1" applyBorder="1"/>
    <xf numFmtId="0" fontId="15" fillId="3" borderId="1" xfId="0" applyFont="1" applyFill="1" applyBorder="1" applyAlignment="1">
      <alignment horizontal="center" vertical="center" wrapText="1"/>
    </xf>
    <xf numFmtId="0" fontId="15" fillId="3" borderId="1" xfId="0" applyFont="1" applyFill="1" applyBorder="1" applyAlignment="1">
      <alignment horizontal="left" vertical="center" wrapText="1"/>
    </xf>
    <xf numFmtId="169" fontId="15" fillId="3" borderId="1" xfId="1" applyNumberFormat="1" applyFont="1" applyFill="1" applyBorder="1" applyAlignment="1">
      <alignment horizontal="center" vertical="center"/>
    </xf>
    <xf numFmtId="0" fontId="15" fillId="3" borderId="1" xfId="0" applyFont="1" applyFill="1" applyBorder="1" applyAlignment="1">
      <alignment horizontal="left" vertical="center"/>
    </xf>
    <xf numFmtId="169" fontId="15" fillId="3" borderId="1" xfId="1" applyNumberFormat="1" applyFont="1" applyFill="1" applyBorder="1" applyAlignment="1">
      <alignment horizontal="right" vertical="center" wrapText="1"/>
    </xf>
    <xf numFmtId="0" fontId="14" fillId="0" borderId="1" xfId="0" applyFont="1" applyBorder="1" applyAlignment="1">
      <alignment vertical="center"/>
    </xf>
    <xf numFmtId="169" fontId="14" fillId="0" borderId="1" xfId="1" applyNumberFormat="1" applyFont="1" applyBorder="1" applyAlignment="1">
      <alignment horizontal="right" vertical="center" wrapText="1"/>
    </xf>
    <xf numFmtId="0" fontId="16" fillId="10" borderId="1" xfId="0" applyFont="1" applyFill="1" applyBorder="1" applyAlignment="1">
      <alignment horizontal="center" vertical="center" wrapText="1"/>
    </xf>
    <xf numFmtId="43" fontId="0" fillId="3" borderId="0" xfId="1" applyFont="1" applyFill="1"/>
    <xf numFmtId="0" fontId="17" fillId="3" borderId="1" xfId="0" applyFont="1" applyFill="1" applyBorder="1" applyAlignment="1">
      <alignment horizontal="center" vertical="center" wrapText="1"/>
    </xf>
    <xf numFmtId="0" fontId="17" fillId="3" borderId="1" xfId="0" applyFont="1" applyFill="1" applyBorder="1" applyAlignment="1">
      <alignment vertical="center" wrapText="1"/>
    </xf>
    <xf numFmtId="165" fontId="17" fillId="3" borderId="1" xfId="3" applyNumberFormat="1" applyFont="1" applyFill="1" applyBorder="1" applyAlignment="1">
      <alignment horizontal="right" vertical="center" wrapText="1"/>
    </xf>
    <xf numFmtId="10" fontId="0" fillId="3" borderId="1" xfId="2" applyNumberFormat="1" applyFont="1" applyFill="1" applyBorder="1"/>
    <xf numFmtId="43" fontId="2" fillId="3" borderId="0" xfId="1" applyFont="1" applyFill="1"/>
    <xf numFmtId="43" fontId="0" fillId="0" borderId="0" xfId="1" applyFont="1"/>
    <xf numFmtId="0" fontId="17" fillId="3" borderId="1" xfId="0" applyFont="1" applyFill="1" applyBorder="1" applyAlignment="1">
      <alignment horizontal="right" vertical="center" wrapText="1"/>
    </xf>
    <xf numFmtId="165" fontId="18" fillId="3" borderId="1" xfId="3" applyNumberFormat="1" applyFont="1" applyFill="1" applyBorder="1" applyAlignment="1">
      <alignment horizontal="center" vertical="center" wrapText="1"/>
    </xf>
    <xf numFmtId="0" fontId="0" fillId="11" borderId="0" xfId="0" applyFill="1"/>
    <xf numFmtId="165" fontId="17" fillId="3" borderId="1" xfId="3" applyNumberFormat="1" applyFont="1" applyFill="1" applyBorder="1" applyAlignment="1">
      <alignment horizontal="center" vertical="center" wrapText="1"/>
    </xf>
    <xf numFmtId="165" fontId="17" fillId="3" borderId="1" xfId="3" applyNumberFormat="1" applyFont="1" applyFill="1" applyBorder="1" applyAlignment="1">
      <alignment horizontal="center" vertical="center"/>
    </xf>
    <xf numFmtId="165" fontId="17" fillId="0" borderId="1" xfId="3" applyNumberFormat="1" applyFont="1" applyFill="1" applyBorder="1" applyAlignment="1">
      <alignment horizontal="center" vertical="center"/>
    </xf>
    <xf numFmtId="0" fontId="20" fillId="4" borderId="1" xfId="0" applyFont="1" applyFill="1" applyBorder="1" applyAlignment="1">
      <alignment vertical="center" wrapText="1"/>
    </xf>
    <xf numFmtId="3" fontId="20" fillId="4" borderId="1" xfId="0" applyNumberFormat="1" applyFont="1" applyFill="1" applyBorder="1" applyAlignment="1">
      <alignment horizontal="right" vertical="center" wrapText="1"/>
    </xf>
    <xf numFmtId="170" fontId="20" fillId="4" borderId="1" xfId="3" applyNumberFormat="1" applyFont="1" applyFill="1" applyBorder="1" applyAlignment="1">
      <alignment horizontal="right" vertical="center" wrapText="1"/>
    </xf>
    <xf numFmtId="170" fontId="20" fillId="4" borderId="1" xfId="0" applyNumberFormat="1" applyFont="1" applyFill="1" applyBorder="1" applyAlignment="1">
      <alignment horizontal="right" vertical="center" wrapText="1"/>
    </xf>
    <xf numFmtId="10" fontId="0" fillId="3" borderId="0" xfId="2" applyNumberFormat="1" applyFont="1" applyFill="1"/>
    <xf numFmtId="0" fontId="14" fillId="0" borderId="0" xfId="0" applyFont="1"/>
    <xf numFmtId="0" fontId="11" fillId="14" borderId="1" xfId="0" applyFont="1" applyFill="1" applyBorder="1" applyAlignment="1">
      <alignment horizontal="center" vertical="center" wrapText="1"/>
    </xf>
    <xf numFmtId="0" fontId="11" fillId="14" borderId="1" xfId="0" applyFont="1" applyFill="1" applyBorder="1" applyAlignment="1">
      <alignment horizontal="center" vertical="center"/>
    </xf>
    <xf numFmtId="0" fontId="14" fillId="0" borderId="0" xfId="0" applyFont="1" applyAlignment="1">
      <alignment wrapText="1"/>
    </xf>
    <xf numFmtId="0" fontId="11" fillId="14" borderId="1" xfId="0" applyFont="1" applyFill="1" applyBorder="1" applyAlignment="1">
      <alignment vertical="center"/>
    </xf>
    <xf numFmtId="2" fontId="11" fillId="14" borderId="1" xfId="0" applyNumberFormat="1" applyFont="1" applyFill="1" applyBorder="1" applyAlignment="1">
      <alignment horizontal="center" vertical="center" wrapText="1"/>
    </xf>
    <xf numFmtId="0" fontId="11" fillId="15" borderId="1" xfId="0" applyFont="1" applyFill="1" applyBorder="1" applyAlignment="1">
      <alignment horizontal="center" vertical="center"/>
    </xf>
    <xf numFmtId="0" fontId="11" fillId="3" borderId="1" xfId="0" applyFont="1" applyFill="1" applyBorder="1" applyAlignment="1">
      <alignment horizontal="justify" vertical="center" wrapText="1"/>
    </xf>
    <xf numFmtId="1" fontId="11" fillId="15" borderId="1" xfId="3" applyNumberFormat="1" applyFont="1" applyFill="1" applyBorder="1" applyAlignment="1">
      <alignment horizontal="center" vertical="center"/>
    </xf>
    <xf numFmtId="1" fontId="11" fillId="15" borderId="1" xfId="3" applyNumberFormat="1" applyFont="1" applyFill="1" applyBorder="1" applyAlignment="1">
      <alignment horizontal="center" vertical="center" wrapText="1"/>
    </xf>
    <xf numFmtId="165" fontId="11" fillId="15" borderId="1" xfId="3" applyNumberFormat="1" applyFont="1" applyFill="1" applyBorder="1" applyAlignment="1">
      <alignment horizontal="center" vertical="center"/>
    </xf>
    <xf numFmtId="165" fontId="11" fillId="15" borderId="1" xfId="3" applyNumberFormat="1" applyFont="1" applyFill="1" applyBorder="1" applyAlignment="1">
      <alignment horizontal="center" vertical="center" wrapText="1"/>
    </xf>
    <xf numFmtId="165" fontId="11" fillId="15" borderId="1" xfId="3" applyNumberFormat="1" applyFont="1" applyFill="1" applyBorder="1" applyAlignment="1">
      <alignment vertical="center"/>
    </xf>
    <xf numFmtId="165" fontId="11" fillId="15" borderId="1" xfId="3" applyNumberFormat="1" applyFont="1" applyFill="1" applyBorder="1" applyAlignment="1">
      <alignment horizontal="justify" vertical="center"/>
    </xf>
    <xf numFmtId="165" fontId="14" fillId="0" borderId="1" xfId="0" applyNumberFormat="1" applyFont="1" applyBorder="1"/>
    <xf numFmtId="0" fontId="15" fillId="0" borderId="1" xfId="0" applyFont="1" applyBorder="1" applyAlignment="1">
      <alignment vertical="center" wrapText="1"/>
    </xf>
    <xf numFmtId="0" fontId="14" fillId="0" borderId="1" xfId="0" applyFont="1" applyBorder="1" applyAlignment="1">
      <alignment horizontal="center" vertical="center"/>
    </xf>
    <xf numFmtId="165" fontId="14" fillId="0" borderId="1" xfId="0" applyNumberFormat="1" applyFont="1" applyBorder="1" applyAlignment="1">
      <alignment vertical="center"/>
    </xf>
    <xf numFmtId="0" fontId="15" fillId="3" borderId="1" xfId="0" applyFont="1" applyFill="1" applyBorder="1" applyAlignment="1">
      <alignment vertical="center"/>
    </xf>
    <xf numFmtId="0" fontId="15" fillId="0" borderId="1" xfId="0" applyFont="1" applyBorder="1" applyAlignment="1">
      <alignment vertical="center"/>
    </xf>
    <xf numFmtId="0" fontId="14" fillId="3" borderId="1" xfId="0" applyFont="1" applyFill="1" applyBorder="1" applyAlignment="1">
      <alignment vertical="center"/>
    </xf>
    <xf numFmtId="0" fontId="14" fillId="3" borderId="1" xfId="0" applyFont="1" applyFill="1" applyBorder="1" applyAlignment="1">
      <alignment vertical="center" wrapText="1"/>
    </xf>
    <xf numFmtId="0" fontId="15" fillId="0" borderId="1" xfId="0" applyFont="1" applyBorder="1" applyAlignment="1">
      <alignment horizontal="center" vertical="center"/>
    </xf>
    <xf numFmtId="0" fontId="15" fillId="3" borderId="1" xfId="0" applyFont="1" applyFill="1" applyBorder="1" applyAlignment="1">
      <alignment vertical="center" wrapText="1"/>
    </xf>
    <xf numFmtId="0" fontId="21" fillId="3" borderId="1" xfId="0" applyFont="1" applyFill="1" applyBorder="1" applyAlignment="1">
      <alignment vertical="center" wrapText="1"/>
    </xf>
    <xf numFmtId="1" fontId="15" fillId="15" borderId="1" xfId="3" applyNumberFormat="1" applyFont="1" applyFill="1" applyBorder="1" applyAlignment="1">
      <alignment horizontal="center" vertical="center"/>
    </xf>
    <xf numFmtId="165" fontId="15" fillId="15" borderId="1" xfId="3" applyNumberFormat="1" applyFont="1" applyFill="1" applyBorder="1" applyAlignment="1">
      <alignment horizontal="center" vertical="center"/>
    </xf>
    <xf numFmtId="165" fontId="15" fillId="15" borderId="1" xfId="3" applyNumberFormat="1" applyFont="1" applyFill="1" applyBorder="1" applyAlignment="1">
      <alignment horizontal="center" vertical="center" wrapText="1"/>
    </xf>
    <xf numFmtId="165" fontId="15" fillId="15" borderId="1" xfId="3" applyNumberFormat="1" applyFont="1" applyFill="1" applyBorder="1" applyAlignment="1">
      <alignment vertical="center"/>
    </xf>
    <xf numFmtId="165" fontId="15" fillId="15" borderId="1" xfId="3" applyNumberFormat="1" applyFont="1" applyFill="1" applyBorder="1" applyAlignment="1">
      <alignment horizontal="justify" vertical="center"/>
    </xf>
    <xf numFmtId="165" fontId="15" fillId="0" borderId="1" xfId="0" applyNumberFormat="1" applyFont="1" applyBorder="1"/>
    <xf numFmtId="0" fontId="15" fillId="0" borderId="0" xfId="0" applyFont="1"/>
    <xf numFmtId="1" fontId="14" fillId="0" borderId="1" xfId="3" applyNumberFormat="1" applyFont="1" applyBorder="1" applyAlignment="1">
      <alignment horizontal="center" vertical="center"/>
    </xf>
    <xf numFmtId="0" fontId="15" fillId="0" borderId="1" xfId="0" applyFont="1" applyBorder="1" applyAlignment="1">
      <alignment horizontal="center" vertical="center" wrapText="1"/>
    </xf>
    <xf numFmtId="165" fontId="15" fillId="0" borderId="1" xfId="3" applyNumberFormat="1" applyFont="1" applyBorder="1" applyAlignment="1">
      <alignment vertical="top" wrapText="1"/>
    </xf>
    <xf numFmtId="0" fontId="11" fillId="14" borderId="1" xfId="0" applyFont="1" applyFill="1" applyBorder="1" applyAlignment="1">
      <alignment horizontal="justify" vertical="center"/>
    </xf>
    <xf numFmtId="0" fontId="15" fillId="0" borderId="1" xfId="0" applyFont="1" applyBorder="1" applyAlignment="1">
      <alignment horizontal="left" vertical="center" wrapText="1"/>
    </xf>
    <xf numFmtId="165" fontId="14" fillId="0" borderId="1" xfId="0" applyNumberFormat="1" applyFont="1" applyBorder="1" applyAlignment="1">
      <alignment horizontal="center" vertical="center"/>
    </xf>
    <xf numFmtId="165" fontId="14" fillId="0" borderId="1" xfId="0" applyNumberFormat="1" applyFont="1" applyBorder="1" applyAlignment="1">
      <alignment horizontal="center" wrapText="1"/>
    </xf>
    <xf numFmtId="165" fontId="14" fillId="0" borderId="1" xfId="0" applyNumberFormat="1" applyFont="1" applyBorder="1" applyAlignment="1">
      <alignment horizontal="center"/>
    </xf>
    <xf numFmtId="165" fontId="14" fillId="0" borderId="1" xfId="3" applyNumberFormat="1" applyFont="1" applyFill="1" applyBorder="1"/>
    <xf numFmtId="0" fontId="14" fillId="0" borderId="0" xfId="0" applyFont="1" applyAlignment="1">
      <alignment horizontal="center" wrapText="1"/>
    </xf>
    <xf numFmtId="0" fontId="14" fillId="0" borderId="0" xfId="0" applyFont="1" applyAlignment="1">
      <alignment horizontal="center"/>
    </xf>
    <xf numFmtId="171" fontId="14" fillId="0" borderId="0" xfId="0" applyNumberFormat="1" applyFont="1" applyAlignment="1">
      <alignment horizontal="center"/>
    </xf>
    <xf numFmtId="165" fontId="14" fillId="0" borderId="0" xfId="0" applyNumberFormat="1" applyFont="1"/>
    <xf numFmtId="171" fontId="14" fillId="0" borderId="0" xfId="0" applyNumberFormat="1" applyFont="1"/>
    <xf numFmtId="43" fontId="14" fillId="0" borderId="0" xfId="0" applyNumberFormat="1" applyFont="1"/>
    <xf numFmtId="43" fontId="14" fillId="0" borderId="0" xfId="0" applyNumberFormat="1" applyFont="1" applyAlignment="1">
      <alignment horizontal="center"/>
    </xf>
    <xf numFmtId="0" fontId="14" fillId="0" borderId="0" xfId="0" applyFont="1" applyAlignment="1">
      <alignment vertical="center"/>
    </xf>
    <xf numFmtId="0" fontId="14" fillId="0" borderId="0" xfId="0" applyFont="1" applyAlignment="1">
      <alignment horizontal="center" vertical="center"/>
    </xf>
    <xf numFmtId="43" fontId="14" fillId="0" borderId="0" xfId="0" applyNumberFormat="1" applyFont="1" applyAlignment="1">
      <alignment horizontal="center" wrapText="1"/>
    </xf>
    <xf numFmtId="43" fontId="14" fillId="0" borderId="0" xfId="1" applyFont="1" applyAlignment="1">
      <alignment horizontal="center"/>
    </xf>
    <xf numFmtId="0" fontId="22" fillId="0" borderId="0" xfId="0" applyFont="1" applyAlignment="1">
      <alignment vertical="center"/>
    </xf>
    <xf numFmtId="0" fontId="15" fillId="0" borderId="0" xfId="0" applyFont="1" applyAlignment="1">
      <alignment horizontal="left" vertical="center" wrapText="1"/>
    </xf>
    <xf numFmtId="0" fontId="2" fillId="0" borderId="1" xfId="0" applyFont="1" applyBorder="1" applyAlignment="1">
      <alignment horizontal="center"/>
    </xf>
    <xf numFmtId="0" fontId="2" fillId="6" borderId="1" xfId="0" applyFont="1" applyFill="1" applyBorder="1" applyAlignment="1">
      <alignment horizontal="left"/>
    </xf>
    <xf numFmtId="9" fontId="2" fillId="6" borderId="1" xfId="2" applyFont="1" applyFill="1" applyBorder="1" applyAlignment="1">
      <alignment horizontal="left"/>
    </xf>
    <xf numFmtId="0" fontId="0" fillId="0" borderId="1" xfId="0" applyBorder="1"/>
    <xf numFmtId="169" fontId="0" fillId="0" borderId="1" xfId="1" applyNumberFormat="1" applyFont="1" applyBorder="1"/>
    <xf numFmtId="9" fontId="1" fillId="16" borderId="1" xfId="2" applyFont="1" applyFill="1" applyBorder="1"/>
    <xf numFmtId="169" fontId="2" fillId="0" borderId="1" xfId="1" applyNumberFormat="1" applyFont="1" applyBorder="1"/>
    <xf numFmtId="9" fontId="2" fillId="16" borderId="1" xfId="2" applyFont="1" applyFill="1" applyBorder="1"/>
    <xf numFmtId="0" fontId="2" fillId="6" borderId="1" xfId="0" applyFont="1" applyFill="1" applyBorder="1"/>
    <xf numFmtId="0" fontId="0" fillId="6" borderId="1" xfId="0" applyFill="1" applyBorder="1"/>
    <xf numFmtId="9" fontId="0" fillId="6" borderId="1" xfId="2" applyFont="1" applyFill="1" applyBorder="1"/>
    <xf numFmtId="0" fontId="1" fillId="0" borderId="1" xfId="4" applyBorder="1"/>
    <xf numFmtId="169" fontId="2" fillId="0" borderId="1" xfId="1" applyNumberFormat="1" applyFont="1" applyFill="1" applyBorder="1"/>
    <xf numFmtId="0" fontId="2" fillId="0" borderId="1" xfId="4" applyFont="1" applyBorder="1" applyAlignment="1">
      <alignment horizontal="center"/>
    </xf>
    <xf numFmtId="0" fontId="2" fillId="0" borderId="1" xfId="0" applyFont="1" applyBorder="1"/>
    <xf numFmtId="0" fontId="2" fillId="0" borderId="1" xfId="4" applyFont="1" applyBorder="1"/>
    <xf numFmtId="9" fontId="0" fillId="16" borderId="1" xfId="2" applyFont="1" applyFill="1" applyBorder="1"/>
    <xf numFmtId="3" fontId="24" fillId="0" borderId="0" xfId="5" applyNumberFormat="1" applyFont="1" applyAlignment="1">
      <alignment vertical="center"/>
    </xf>
    <xf numFmtId="3" fontId="25" fillId="0" borderId="0" xfId="5" applyNumberFormat="1" applyFont="1" applyAlignment="1">
      <alignment vertical="center"/>
    </xf>
    <xf numFmtId="3" fontId="26" fillId="0" borderId="0" xfId="5" applyNumberFormat="1" applyFont="1" applyAlignment="1">
      <alignment vertical="center"/>
    </xf>
    <xf numFmtId="3" fontId="27" fillId="0" borderId="0" xfId="5" applyNumberFormat="1" applyFont="1" applyAlignment="1">
      <alignment vertical="center"/>
    </xf>
    <xf numFmtId="0" fontId="28" fillId="2" borderId="1" xfId="5" applyFont="1" applyFill="1" applyBorder="1" applyAlignment="1">
      <alignment horizontal="center" vertical="center"/>
    </xf>
    <xf numFmtId="3" fontId="28" fillId="2" borderId="7" xfId="5" applyNumberFormat="1" applyFont="1" applyFill="1" applyBorder="1" applyAlignment="1">
      <alignment horizontal="center" vertical="center"/>
    </xf>
    <xf numFmtId="0" fontId="28" fillId="2" borderId="1" xfId="6" quotePrefix="1" applyNumberFormat="1" applyFont="1" applyFill="1" applyBorder="1" applyAlignment="1">
      <alignment horizontal="center" vertical="center"/>
    </xf>
    <xf numFmtId="3" fontId="25" fillId="0" borderId="12" xfId="5" applyNumberFormat="1" applyFont="1" applyBorder="1" applyAlignment="1">
      <alignment vertical="center"/>
    </xf>
    <xf numFmtId="3" fontId="25" fillId="0" borderId="0" xfId="5" quotePrefix="1" applyNumberFormat="1" applyFont="1" applyAlignment="1">
      <alignment horizontal="right" vertical="center"/>
    </xf>
    <xf numFmtId="3" fontId="29" fillId="0" borderId="0" xfId="5" applyNumberFormat="1" applyFont="1" applyAlignment="1">
      <alignment horizontal="center" vertical="center"/>
    </xf>
    <xf numFmtId="3" fontId="29" fillId="0" borderId="0" xfId="5" applyNumberFormat="1" applyFont="1" applyAlignment="1">
      <alignment horizontal="right" vertical="center"/>
    </xf>
    <xf numFmtId="3" fontId="30" fillId="0" borderId="13" xfId="5" applyNumberFormat="1" applyFont="1" applyBorder="1" applyAlignment="1">
      <alignment horizontal="left" vertical="center"/>
    </xf>
    <xf numFmtId="3" fontId="31" fillId="17" borderId="0" xfId="5" applyNumberFormat="1" applyFont="1" applyFill="1" applyAlignment="1">
      <alignment horizontal="left" vertical="center"/>
    </xf>
    <xf numFmtId="3" fontId="32" fillId="18" borderId="1" xfId="5" applyNumberFormat="1" applyFont="1" applyFill="1" applyBorder="1" applyAlignment="1">
      <alignment vertical="center"/>
    </xf>
    <xf numFmtId="3" fontId="32" fillId="11" borderId="1" xfId="5" applyNumberFormat="1" applyFont="1" applyFill="1" applyBorder="1" applyAlignment="1">
      <alignment vertical="center"/>
    </xf>
    <xf numFmtId="3" fontId="32" fillId="19" borderId="1" xfId="5" applyNumberFormat="1" applyFont="1" applyFill="1" applyBorder="1" applyAlignment="1">
      <alignment vertical="center"/>
    </xf>
    <xf numFmtId="3" fontId="32" fillId="19" borderId="1" xfId="5" applyNumberFormat="1" applyFont="1" applyFill="1" applyBorder="1" applyAlignment="1" applyProtection="1">
      <alignment horizontal="left" vertical="center"/>
      <protection locked="0"/>
    </xf>
    <xf numFmtId="3" fontId="32" fillId="19" borderId="1" xfId="5" applyNumberFormat="1" applyFont="1" applyFill="1" applyBorder="1" applyAlignment="1" applyProtection="1">
      <alignment vertical="center"/>
      <protection locked="0"/>
    </xf>
    <xf numFmtId="3" fontId="25" fillId="0" borderId="21" xfId="5" applyNumberFormat="1" applyFont="1" applyBorder="1" applyAlignment="1">
      <alignment vertical="center"/>
    </xf>
    <xf numFmtId="3" fontId="29" fillId="0" borderId="22" xfId="5" quotePrefix="1" applyNumberFormat="1" applyFont="1" applyBorder="1" applyAlignment="1" applyProtection="1">
      <alignment horizontal="center" vertical="center"/>
      <protection locked="0"/>
    </xf>
    <xf numFmtId="3" fontId="25" fillId="0" borderId="23" xfId="5" applyNumberFormat="1" applyFont="1" applyBorder="1" applyAlignment="1" applyProtection="1">
      <alignment vertical="center"/>
      <protection locked="0"/>
    </xf>
    <xf numFmtId="3" fontId="25" fillId="0" borderId="24" xfId="5" applyNumberFormat="1" applyFont="1" applyBorder="1" applyAlignment="1" applyProtection="1">
      <alignment horizontal="center" vertical="center"/>
      <protection locked="0"/>
    </xf>
    <xf numFmtId="3" fontId="25" fillId="0" borderId="25" xfId="5" applyNumberFormat="1" applyFont="1" applyBorder="1" applyAlignment="1" applyProtection="1">
      <alignment vertical="center"/>
      <protection locked="0"/>
    </xf>
    <xf numFmtId="3" fontId="25" fillId="0" borderId="26" xfId="5" applyNumberFormat="1" applyFont="1" applyBorder="1" applyAlignment="1" applyProtection="1">
      <alignment vertical="center"/>
      <protection locked="0"/>
    </xf>
    <xf numFmtId="3" fontId="25" fillId="0" borderId="27" xfId="5" applyNumberFormat="1" applyFont="1" applyBorder="1" applyAlignment="1">
      <alignment vertical="center"/>
    </xf>
    <xf numFmtId="3" fontId="25" fillId="0" borderId="28" xfId="5" applyNumberFormat="1" applyFont="1" applyBorder="1" applyAlignment="1" applyProtection="1">
      <alignment horizontal="right" vertical="center"/>
      <protection locked="0"/>
    </xf>
    <xf numFmtId="3" fontId="32" fillId="0" borderId="1" xfId="5" applyNumberFormat="1" applyFont="1" applyBorder="1" applyAlignment="1">
      <alignment vertical="center"/>
    </xf>
    <xf numFmtId="3" fontId="32" fillId="19" borderId="1" xfId="5" applyNumberFormat="1" applyFont="1" applyFill="1" applyBorder="1" applyAlignment="1" applyProtection="1">
      <alignment horizontal="center" vertical="center"/>
      <protection locked="0"/>
    </xf>
    <xf numFmtId="3" fontId="32" fillId="19" borderId="1" xfId="5" applyNumberFormat="1" applyFont="1" applyFill="1" applyBorder="1" applyAlignment="1" applyProtection="1">
      <alignment horizontal="right" vertical="center"/>
      <protection locked="0"/>
    </xf>
    <xf numFmtId="3" fontId="32" fillId="19" borderId="7" xfId="5" applyNumberFormat="1" applyFont="1" applyFill="1" applyBorder="1" applyAlignment="1" applyProtection="1">
      <alignment horizontal="left" vertical="center" wrapText="1"/>
      <protection locked="0"/>
    </xf>
    <xf numFmtId="3" fontId="29" fillId="0" borderId="0" xfId="5" applyNumberFormat="1" applyFont="1" applyAlignment="1">
      <alignment vertical="center"/>
    </xf>
    <xf numFmtId="3" fontId="32" fillId="0" borderId="25" xfId="5" applyNumberFormat="1" applyFont="1" applyBorder="1" applyAlignment="1">
      <alignment vertical="center"/>
    </xf>
    <xf numFmtId="3" fontId="25" fillId="0" borderId="29" xfId="5" quotePrefix="1" applyNumberFormat="1" applyFont="1" applyBorder="1" applyAlignment="1" applyProtection="1">
      <alignment horizontal="center" vertical="center"/>
      <protection locked="0"/>
    </xf>
    <xf numFmtId="3" fontId="25" fillId="0" borderId="30" xfId="5" applyNumberFormat="1" applyFont="1" applyBorder="1" applyAlignment="1" applyProtection="1">
      <alignment vertical="center"/>
      <protection locked="0"/>
    </xf>
    <xf numFmtId="3" fontId="25" fillId="0" borderId="31" xfId="5" applyNumberFormat="1" applyFont="1" applyBorder="1" applyAlignment="1" applyProtection="1">
      <alignment horizontal="center" vertical="center"/>
      <protection locked="0"/>
    </xf>
    <xf numFmtId="3" fontId="25" fillId="0" borderId="31" xfId="5" applyNumberFormat="1" applyFont="1" applyBorder="1" applyAlignment="1" applyProtection="1">
      <alignment vertical="center"/>
      <protection locked="0"/>
    </xf>
    <xf numFmtId="3" fontId="25" fillId="0" borderId="31" xfId="5" applyNumberFormat="1" applyFont="1" applyBorder="1" applyAlignment="1">
      <alignment vertical="center"/>
    </xf>
    <xf numFmtId="3" fontId="25" fillId="0" borderId="32" xfId="5" applyNumberFormat="1" applyFont="1" applyBorder="1" applyAlignment="1" applyProtection="1">
      <alignment horizontal="left" vertical="center"/>
      <protection locked="0"/>
    </xf>
    <xf numFmtId="3" fontId="25" fillId="0" borderId="28" xfId="5" applyNumberFormat="1" applyFont="1" applyBorder="1" applyAlignment="1" applyProtection="1">
      <alignment vertical="center"/>
      <protection locked="0"/>
    </xf>
    <xf numFmtId="3" fontId="25" fillId="0" borderId="24" xfId="5" applyNumberFormat="1" applyFont="1" applyBorder="1" applyAlignment="1" applyProtection="1">
      <alignment vertical="center"/>
      <protection locked="0"/>
    </xf>
    <xf numFmtId="3" fontId="33" fillId="11" borderId="0" xfId="5" applyNumberFormat="1" applyFont="1" applyFill="1" applyAlignment="1">
      <alignment vertical="center"/>
    </xf>
    <xf numFmtId="3" fontId="34" fillId="0" borderId="0" xfId="5" applyNumberFormat="1" applyFont="1" applyAlignment="1">
      <alignment vertical="center"/>
    </xf>
    <xf numFmtId="3" fontId="32" fillId="0" borderId="12" xfId="5" applyNumberFormat="1" applyFont="1" applyBorder="1" applyAlignment="1">
      <alignment vertical="center"/>
    </xf>
    <xf numFmtId="3" fontId="32" fillId="0" borderId="21" xfId="5" applyNumberFormat="1" applyFont="1" applyBorder="1" applyAlignment="1">
      <alignment vertical="center"/>
    </xf>
    <xf numFmtId="3" fontId="25" fillId="0" borderId="22" xfId="5" quotePrefix="1" applyNumberFormat="1" applyFont="1" applyBorder="1" applyAlignment="1" applyProtection="1">
      <alignment horizontal="center" vertical="top"/>
      <protection locked="0"/>
    </xf>
    <xf numFmtId="3" fontId="25" fillId="0" borderId="33" xfId="5" applyNumberFormat="1" applyFont="1" applyBorder="1" applyAlignment="1" applyProtection="1">
      <alignment vertical="center"/>
      <protection locked="0"/>
    </xf>
    <xf numFmtId="3" fontId="25" fillId="0" borderId="34" xfId="5" applyNumberFormat="1" applyFont="1" applyBorder="1" applyAlignment="1" applyProtection="1">
      <alignment horizontal="center" vertical="center"/>
      <protection locked="0"/>
    </xf>
    <xf numFmtId="3" fontId="25" fillId="0" borderId="25" xfId="5" quotePrefix="1" applyNumberFormat="1" applyFont="1" applyBorder="1" applyAlignment="1" applyProtection="1">
      <alignment vertical="center"/>
      <protection locked="0"/>
    </xf>
    <xf numFmtId="3" fontId="29" fillId="0" borderId="13" xfId="5" applyNumberFormat="1" applyFont="1" applyBorder="1" applyAlignment="1">
      <alignment vertical="center"/>
    </xf>
    <xf numFmtId="3" fontId="25" fillId="0" borderId="35" xfId="5" applyNumberFormat="1" applyFont="1" applyBorder="1" applyAlignment="1" applyProtection="1">
      <alignment horizontal="left" vertical="center"/>
      <protection locked="0"/>
    </xf>
    <xf numFmtId="3" fontId="25" fillId="0" borderId="36" xfId="5" applyNumberFormat="1" applyFont="1" applyBorder="1" applyAlignment="1" applyProtection="1">
      <alignment horizontal="left" vertical="center"/>
      <protection locked="0"/>
    </xf>
    <xf numFmtId="3" fontId="25" fillId="0" borderId="37" xfId="5" applyNumberFormat="1" applyFont="1" applyBorder="1" applyAlignment="1">
      <alignment vertical="center"/>
    </xf>
    <xf numFmtId="3" fontId="25" fillId="0" borderId="22" xfId="5" quotePrefix="1" applyNumberFormat="1" applyFont="1" applyBorder="1" applyAlignment="1" applyProtection="1">
      <alignment horizontal="center" vertical="center"/>
      <protection locked="0"/>
    </xf>
    <xf numFmtId="3" fontId="25" fillId="0" borderId="38" xfId="5" applyNumberFormat="1" applyFont="1" applyBorder="1" applyAlignment="1" applyProtection="1">
      <alignment vertical="center"/>
      <protection locked="0"/>
    </xf>
    <xf numFmtId="3" fontId="25" fillId="0" borderId="13" xfId="5" applyNumberFormat="1" applyFont="1" applyBorder="1" applyAlignment="1">
      <alignment vertical="center"/>
    </xf>
    <xf numFmtId="3" fontId="25" fillId="0" borderId="39" xfId="5" applyNumberFormat="1" applyFont="1" applyBorder="1" applyAlignment="1">
      <alignment vertical="center"/>
    </xf>
    <xf numFmtId="3" fontId="25" fillId="0" borderId="33" xfId="5" applyNumberFormat="1" applyFont="1" applyBorder="1" applyAlignment="1" applyProtection="1">
      <alignment vertical="center" wrapText="1"/>
      <protection locked="0"/>
    </xf>
    <xf numFmtId="3" fontId="25" fillId="0" borderId="40" xfId="5" applyNumberFormat="1" applyFont="1" applyBorder="1" applyAlignment="1" applyProtection="1">
      <alignment vertical="center"/>
      <protection locked="0"/>
    </xf>
    <xf numFmtId="3" fontId="25" fillId="0" borderId="23" xfId="5" applyNumberFormat="1" applyFont="1" applyBorder="1" applyAlignment="1" applyProtection="1">
      <alignment vertical="center" wrapText="1"/>
      <protection locked="0"/>
    </xf>
    <xf numFmtId="3" fontId="25" fillId="0" borderId="26" xfId="5" applyNumberFormat="1" applyFont="1" applyBorder="1" applyAlignment="1" applyProtection="1">
      <alignment horizontal="right" vertical="center"/>
      <protection locked="0"/>
    </xf>
    <xf numFmtId="3" fontId="25" fillId="0" borderId="41" xfId="5" applyNumberFormat="1" applyFont="1" applyBorder="1" applyAlignment="1" applyProtection="1">
      <alignment horizontal="left" vertical="center"/>
      <protection locked="0"/>
    </xf>
    <xf numFmtId="3" fontId="25" fillId="3" borderId="23" xfId="5" applyNumberFormat="1" applyFont="1" applyFill="1" applyBorder="1" applyAlignment="1" applyProtection="1">
      <alignment vertical="center" wrapText="1"/>
      <protection locked="0"/>
    </xf>
    <xf numFmtId="3" fontId="25" fillId="0" borderId="0" xfId="5" applyNumberFormat="1" applyFont="1" applyAlignment="1" applyProtection="1">
      <alignment horizontal="left" vertical="center"/>
      <protection locked="0"/>
    </xf>
    <xf numFmtId="3" fontId="25" fillId="0" borderId="23" xfId="5" applyNumberFormat="1" applyFont="1" applyBorder="1" applyAlignment="1" applyProtection="1">
      <alignment horizontal="right" vertical="center"/>
      <protection locked="0"/>
    </xf>
    <xf numFmtId="3" fontId="25" fillId="0" borderId="0" xfId="5" applyNumberFormat="1" applyFont="1" applyAlignment="1" applyProtection="1">
      <alignment horizontal="right" vertical="center"/>
      <protection locked="0"/>
    </xf>
    <xf numFmtId="3" fontId="32" fillId="20" borderId="39" xfId="5" applyNumberFormat="1" applyFont="1" applyFill="1" applyBorder="1" applyAlignment="1">
      <alignment vertical="center"/>
    </xf>
    <xf numFmtId="3" fontId="32" fillId="0" borderId="33" xfId="5" applyNumberFormat="1" applyFont="1" applyBorder="1" applyAlignment="1">
      <alignment horizontal="right" vertical="center"/>
    </xf>
    <xf numFmtId="3" fontId="32" fillId="20" borderId="42" xfId="5" applyNumberFormat="1" applyFont="1" applyFill="1" applyBorder="1" applyAlignment="1">
      <alignment vertical="center"/>
    </xf>
    <xf numFmtId="3" fontId="25" fillId="20" borderId="43" xfId="5" applyNumberFormat="1" applyFont="1" applyFill="1" applyBorder="1" applyAlignment="1">
      <alignment horizontal="center" vertical="center"/>
    </xf>
    <xf numFmtId="3" fontId="25" fillId="20" borderId="43" xfId="5" applyNumberFormat="1" applyFont="1" applyFill="1" applyBorder="1" applyAlignment="1">
      <alignment vertical="center"/>
    </xf>
    <xf numFmtId="3" fontId="25" fillId="20" borderId="43" xfId="5" applyNumberFormat="1" applyFont="1" applyFill="1" applyBorder="1" applyAlignment="1">
      <alignment horizontal="right" vertical="center"/>
    </xf>
    <xf numFmtId="3" fontId="32" fillId="20" borderId="43" xfId="5" applyNumberFormat="1" applyFont="1" applyFill="1" applyBorder="1" applyAlignment="1">
      <alignment vertical="center"/>
    </xf>
    <xf numFmtId="3" fontId="32" fillId="20" borderId="44" xfId="5" applyNumberFormat="1" applyFont="1" applyFill="1" applyBorder="1" applyAlignment="1">
      <alignment vertical="center"/>
    </xf>
    <xf numFmtId="3" fontId="32" fillId="20" borderId="45" xfId="5" applyNumberFormat="1" applyFont="1" applyFill="1" applyBorder="1" applyAlignment="1">
      <alignment horizontal="right" vertical="center"/>
    </xf>
    <xf numFmtId="3" fontId="32" fillId="20" borderId="1" xfId="5" applyNumberFormat="1" applyFont="1" applyFill="1" applyBorder="1" applyAlignment="1">
      <alignment horizontal="center" vertical="center"/>
    </xf>
    <xf numFmtId="172" fontId="25" fillId="20" borderId="1" xfId="5" quotePrefix="1" applyNumberFormat="1" applyFont="1" applyFill="1" applyBorder="1" applyAlignment="1" applyProtection="1">
      <alignment vertical="center"/>
      <protection locked="0"/>
    </xf>
    <xf numFmtId="3" fontId="25" fillId="20" borderId="1" xfId="5" applyNumberFormat="1" applyFont="1" applyFill="1" applyBorder="1" applyAlignment="1">
      <alignment horizontal="right" vertical="center"/>
    </xf>
    <xf numFmtId="3" fontId="25" fillId="20" borderId="1" xfId="5" applyNumberFormat="1" applyFont="1" applyFill="1" applyBorder="1" applyAlignment="1">
      <alignment vertical="center"/>
    </xf>
    <xf numFmtId="3" fontId="32" fillId="20" borderId="7" xfId="5" applyNumberFormat="1" applyFont="1" applyFill="1" applyBorder="1" applyAlignment="1">
      <alignment vertical="center"/>
    </xf>
    <xf numFmtId="3" fontId="32" fillId="20" borderId="46" xfId="5" applyNumberFormat="1" applyFont="1" applyFill="1" applyBorder="1" applyAlignment="1">
      <alignment vertical="center"/>
    </xf>
    <xf numFmtId="3" fontId="32" fillId="0" borderId="47" xfId="5" applyNumberFormat="1" applyFont="1" applyBorder="1" applyAlignment="1">
      <alignment horizontal="right" vertical="center"/>
    </xf>
    <xf numFmtId="3" fontId="32" fillId="20" borderId="45" xfId="5" applyNumberFormat="1" applyFont="1" applyFill="1" applyBorder="1" applyAlignment="1">
      <alignment vertical="center"/>
    </xf>
    <xf numFmtId="3" fontId="25" fillId="20" borderId="1" xfId="5" applyNumberFormat="1" applyFont="1" applyFill="1" applyBorder="1" applyAlignment="1">
      <alignment horizontal="center" vertical="center"/>
    </xf>
    <xf numFmtId="3" fontId="32" fillId="20" borderId="1" xfId="5" applyNumberFormat="1" applyFont="1" applyFill="1" applyBorder="1" applyAlignment="1">
      <alignment vertical="center"/>
    </xf>
    <xf numFmtId="3" fontId="32" fillId="20" borderId="48" xfId="5" applyNumberFormat="1" applyFont="1" applyFill="1" applyBorder="1" applyAlignment="1">
      <alignment vertical="center"/>
    </xf>
    <xf numFmtId="3" fontId="28" fillId="0" borderId="0" xfId="5" applyNumberFormat="1" applyFont="1" applyAlignment="1">
      <alignment vertical="center"/>
    </xf>
    <xf numFmtId="3" fontId="31" fillId="0" borderId="0" xfId="5" quotePrefix="1" applyNumberFormat="1" applyFont="1" applyAlignment="1">
      <alignment horizontal="right" vertical="center"/>
    </xf>
    <xf numFmtId="3" fontId="25" fillId="0" borderId="1" xfId="5" applyNumberFormat="1" applyFont="1" applyBorder="1" applyAlignment="1">
      <alignment vertical="center"/>
    </xf>
    <xf numFmtId="173" fontId="25" fillId="0" borderId="0" xfId="5" applyNumberFormat="1" applyFont="1" applyAlignment="1">
      <alignment vertical="center"/>
    </xf>
    <xf numFmtId="174" fontId="25" fillId="0" borderId="0" xfId="5" applyNumberFormat="1" applyFont="1" applyAlignment="1">
      <alignment vertical="center"/>
    </xf>
    <xf numFmtId="4" fontId="25" fillId="0" borderId="0" xfId="5" applyNumberFormat="1" applyFont="1" applyAlignment="1">
      <alignment vertical="center"/>
    </xf>
    <xf numFmtId="0" fontId="10" fillId="0" borderId="49" xfId="0" applyFont="1" applyBorder="1" applyAlignment="1">
      <alignment vertical="center"/>
    </xf>
    <xf numFmtId="0" fontId="10" fillId="0" borderId="50" xfId="0" applyFont="1" applyBorder="1" applyAlignment="1">
      <alignment vertical="center"/>
    </xf>
    <xf numFmtId="0" fontId="10"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52" xfId="0" applyFont="1" applyBorder="1" applyAlignment="1">
      <alignment vertical="center"/>
    </xf>
    <xf numFmtId="0" fontId="10" fillId="0" borderId="52" xfId="0" applyFont="1" applyBorder="1" applyAlignment="1">
      <alignment vertical="center"/>
    </xf>
    <xf numFmtId="3" fontId="24" fillId="0" borderId="0" xfId="7" applyNumberFormat="1" applyFont="1" applyAlignment="1">
      <alignment vertical="center"/>
    </xf>
    <xf numFmtId="3" fontId="26" fillId="0" borderId="0" xfId="7" applyNumberFormat="1" applyFont="1" applyAlignment="1">
      <alignment vertical="center"/>
    </xf>
    <xf numFmtId="3" fontId="28" fillId="2" borderId="1" xfId="7" applyNumberFormat="1" applyFont="1" applyFill="1" applyBorder="1" applyAlignment="1">
      <alignment horizontal="center" vertical="center"/>
    </xf>
    <xf numFmtId="0" fontId="28" fillId="2" borderId="1" xfId="7" applyFont="1" applyFill="1" applyBorder="1" applyAlignment="1">
      <alignment horizontal="center" vertical="center"/>
    </xf>
    <xf numFmtId="0" fontId="28" fillId="2" borderId="1" xfId="8" quotePrefix="1" applyNumberFormat="1" applyFont="1" applyFill="1" applyBorder="1" applyAlignment="1">
      <alignment horizontal="center" vertical="center"/>
    </xf>
    <xf numFmtId="3" fontId="25" fillId="0" borderId="1" xfId="7" quotePrefix="1" applyNumberFormat="1" applyFont="1" applyBorder="1" applyAlignment="1">
      <alignment horizontal="center" vertical="center"/>
    </xf>
    <xf numFmtId="0" fontId="23" fillId="0" borderId="1" xfId="7" applyBorder="1"/>
    <xf numFmtId="3" fontId="29" fillId="0" borderId="1" xfId="7" applyNumberFormat="1" applyFont="1" applyBorder="1" applyAlignment="1">
      <alignment horizontal="center" vertical="center"/>
    </xf>
    <xf numFmtId="3" fontId="29" fillId="0" borderId="1" xfId="7" applyNumberFormat="1" applyFont="1" applyBorder="1" applyAlignment="1">
      <alignment horizontal="right" vertical="center"/>
    </xf>
    <xf numFmtId="3" fontId="30" fillId="0" borderId="1" xfId="7" applyNumberFormat="1" applyFont="1" applyBorder="1" applyAlignment="1">
      <alignment horizontal="left" vertical="center"/>
    </xf>
    <xf numFmtId="3" fontId="31" fillId="17" borderId="1" xfId="7" applyNumberFormat="1" applyFont="1" applyFill="1" applyBorder="1" applyAlignment="1">
      <alignment horizontal="left" vertical="center"/>
    </xf>
    <xf numFmtId="3" fontId="32" fillId="11" borderId="1" xfId="7" applyNumberFormat="1" applyFont="1" applyFill="1" applyBorder="1" applyAlignment="1">
      <alignment horizontal="center" vertical="center"/>
    </xf>
    <xf numFmtId="3" fontId="32" fillId="19" borderId="1" xfId="7" applyNumberFormat="1" applyFont="1" applyFill="1" applyBorder="1" applyAlignment="1">
      <alignment vertical="center"/>
    </xf>
    <xf numFmtId="3" fontId="32" fillId="19" borderId="1" xfId="7" applyNumberFormat="1" applyFont="1" applyFill="1" applyBorder="1" applyAlignment="1" applyProtection="1">
      <alignment horizontal="left" vertical="center"/>
      <protection locked="0"/>
    </xf>
    <xf numFmtId="3" fontId="32" fillId="19" borderId="1" xfId="7" applyNumberFormat="1" applyFont="1" applyFill="1" applyBorder="1" applyAlignment="1" applyProtection="1">
      <alignment vertical="center"/>
      <protection locked="0"/>
    </xf>
    <xf numFmtId="3" fontId="29" fillId="0" borderId="1" xfId="7" quotePrefix="1" applyNumberFormat="1" applyFont="1" applyBorder="1" applyAlignment="1" applyProtection="1">
      <alignment horizontal="center" vertical="center"/>
      <protection locked="0"/>
    </xf>
    <xf numFmtId="3" fontId="25" fillId="0" borderId="1" xfId="7" applyNumberFormat="1" applyFont="1" applyBorder="1" applyAlignment="1" applyProtection="1">
      <alignment vertical="center"/>
      <protection locked="0"/>
    </xf>
    <xf numFmtId="3" fontId="25" fillId="0" borderId="1" xfId="7" applyNumberFormat="1" applyFont="1" applyBorder="1" applyAlignment="1" applyProtection="1">
      <alignment horizontal="center" vertical="center"/>
      <protection locked="0"/>
    </xf>
    <xf numFmtId="3" fontId="25" fillId="0" borderId="1" xfId="7" applyNumberFormat="1" applyFont="1" applyBorder="1" applyAlignment="1">
      <alignment vertical="center"/>
    </xf>
    <xf numFmtId="3" fontId="25" fillId="0" borderId="1" xfId="7" applyNumberFormat="1" applyFont="1" applyBorder="1" applyAlignment="1" applyProtection="1">
      <alignment horizontal="right" vertical="center"/>
      <protection locked="0"/>
    </xf>
    <xf numFmtId="3" fontId="32" fillId="19" borderId="1" xfId="7" applyNumberFormat="1" applyFont="1" applyFill="1" applyBorder="1" applyAlignment="1" applyProtection="1">
      <alignment horizontal="center" vertical="center"/>
      <protection locked="0"/>
    </xf>
    <xf numFmtId="3" fontId="32" fillId="19" borderId="1" xfId="7" applyNumberFormat="1" applyFont="1" applyFill="1" applyBorder="1" applyAlignment="1" applyProtection="1">
      <alignment horizontal="right" vertical="center"/>
      <protection locked="0"/>
    </xf>
    <xf numFmtId="3" fontId="32" fillId="19" borderId="1" xfId="7" applyNumberFormat="1" applyFont="1" applyFill="1" applyBorder="1" applyAlignment="1" applyProtection="1">
      <alignment horizontal="left" vertical="center" wrapText="1"/>
      <protection locked="0"/>
    </xf>
    <xf numFmtId="3" fontId="25" fillId="0" borderId="1" xfId="7" quotePrefix="1" applyNumberFormat="1" applyFont="1" applyBorder="1" applyAlignment="1" applyProtection="1">
      <alignment horizontal="center" vertical="top"/>
      <protection locked="0"/>
    </xf>
    <xf numFmtId="3" fontId="25" fillId="0" borderId="1" xfId="7" quotePrefix="1" applyNumberFormat="1" applyFont="1" applyBorder="1" applyAlignment="1" applyProtection="1">
      <alignment vertical="center"/>
      <protection locked="0"/>
    </xf>
    <xf numFmtId="3" fontId="29" fillId="0" borderId="1" xfId="7" applyNumberFormat="1" applyFont="1" applyBorder="1" applyAlignment="1">
      <alignment vertical="center"/>
    </xf>
    <xf numFmtId="3" fontId="25" fillId="0" borderId="1" xfId="7" applyNumberFormat="1" applyFont="1" applyBorder="1" applyAlignment="1" applyProtection="1">
      <alignment horizontal="left" vertical="center"/>
      <protection locked="0"/>
    </xf>
    <xf numFmtId="3" fontId="25" fillId="0" borderId="1" xfId="7" quotePrefix="1" applyNumberFormat="1" applyFont="1" applyBorder="1" applyAlignment="1" applyProtection="1">
      <alignment horizontal="center" vertical="center"/>
      <protection locked="0"/>
    </xf>
    <xf numFmtId="3" fontId="25" fillId="0" borderId="1" xfId="7" applyNumberFormat="1" applyFont="1" applyBorder="1" applyAlignment="1" applyProtection="1">
      <alignment vertical="center" wrapText="1"/>
      <protection locked="0"/>
    </xf>
    <xf numFmtId="3" fontId="25" fillId="3" borderId="1" xfId="7" applyNumberFormat="1" applyFont="1" applyFill="1" applyBorder="1" applyAlignment="1" applyProtection="1">
      <alignment vertical="center" wrapText="1"/>
      <protection locked="0"/>
    </xf>
    <xf numFmtId="3" fontId="32" fillId="0" borderId="1" xfId="7" applyNumberFormat="1" applyFont="1" applyBorder="1" applyAlignment="1">
      <alignment horizontal="center" vertical="center"/>
    </xf>
    <xf numFmtId="3" fontId="32" fillId="20" borderId="1" xfId="7" applyNumberFormat="1" applyFont="1" applyFill="1" applyBorder="1" applyAlignment="1">
      <alignment vertical="center"/>
    </xf>
    <xf numFmtId="3" fontId="25" fillId="20" borderId="1" xfId="7" applyNumberFormat="1" applyFont="1" applyFill="1" applyBorder="1" applyAlignment="1">
      <alignment horizontal="center" vertical="center"/>
    </xf>
    <xf numFmtId="3" fontId="25" fillId="20" borderId="1" xfId="7" applyNumberFormat="1" applyFont="1" applyFill="1" applyBorder="1" applyAlignment="1">
      <alignment vertical="center"/>
    </xf>
    <xf numFmtId="3" fontId="25" fillId="20" borderId="1" xfId="7" applyNumberFormat="1" applyFont="1" applyFill="1" applyBorder="1" applyAlignment="1">
      <alignment horizontal="right" vertical="center"/>
    </xf>
    <xf numFmtId="3" fontId="32" fillId="20" borderId="1" xfId="7" applyNumberFormat="1" applyFont="1" applyFill="1" applyBorder="1" applyAlignment="1">
      <alignment horizontal="right" vertical="center"/>
    </xf>
    <xf numFmtId="3" fontId="32" fillId="20" borderId="1" xfId="7" applyNumberFormat="1" applyFont="1" applyFill="1" applyBorder="1" applyAlignment="1">
      <alignment horizontal="center" vertical="center"/>
    </xf>
    <xf numFmtId="172" fontId="25" fillId="20" borderId="1" xfId="7" quotePrefix="1" applyNumberFormat="1" applyFont="1" applyFill="1" applyBorder="1" applyAlignment="1" applyProtection="1">
      <alignment vertical="center"/>
      <protection locked="0"/>
    </xf>
    <xf numFmtId="0" fontId="23" fillId="0" borderId="0" xfId="7" applyAlignment="1">
      <alignment horizontal="center"/>
    </xf>
    <xf numFmtId="3" fontId="28" fillId="0" borderId="0" xfId="7" applyNumberFormat="1" applyFont="1" applyAlignment="1">
      <alignment vertical="center"/>
    </xf>
    <xf numFmtId="3" fontId="31" fillId="0" borderId="0" xfId="7" quotePrefix="1" applyNumberFormat="1" applyFont="1" applyAlignment="1">
      <alignment horizontal="right" vertical="center"/>
    </xf>
    <xf numFmtId="0" fontId="23" fillId="0" borderId="0" xfId="7"/>
    <xf numFmtId="173" fontId="25" fillId="0" borderId="0" xfId="7" applyNumberFormat="1" applyFont="1" applyAlignment="1">
      <alignment vertical="center"/>
    </xf>
    <xf numFmtId="169" fontId="11" fillId="0" borderId="17" xfId="1" applyNumberFormat="1" applyFont="1" applyBorder="1" applyAlignment="1">
      <alignment horizontal="center" vertical="center"/>
    </xf>
    <xf numFmtId="169" fontId="11" fillId="8" borderId="17" xfId="1" applyNumberFormat="1" applyFont="1" applyFill="1" applyBorder="1" applyAlignment="1">
      <alignment horizontal="center" vertical="center"/>
    </xf>
    <xf numFmtId="0" fontId="2" fillId="16" borderId="2" xfId="0" applyFont="1" applyFill="1" applyBorder="1" applyAlignment="1">
      <alignment horizontal="center" vertical="center"/>
    </xf>
    <xf numFmtId="0" fontId="2" fillId="0" borderId="2" xfId="0" applyFont="1" applyBorder="1" applyAlignment="1">
      <alignment horizontal="center" vertical="center"/>
    </xf>
    <xf numFmtId="169" fontId="14" fillId="0" borderId="0" xfId="1" applyNumberFormat="1" applyFont="1"/>
    <xf numFmtId="169" fontId="14" fillId="0" borderId="0" xfId="0" applyNumberFormat="1" applyFont="1"/>
    <xf numFmtId="0" fontId="10" fillId="0" borderId="1" xfId="0" applyFont="1" applyBorder="1" applyAlignment="1">
      <alignment horizontal="center" vertical="center"/>
    </xf>
    <xf numFmtId="0" fontId="11" fillId="0" borderId="1" xfId="0" applyFont="1" applyBorder="1" applyAlignment="1">
      <alignment horizontal="right" vertical="center"/>
    </xf>
    <xf numFmtId="0" fontId="11" fillId="0" borderId="1" xfId="0" applyFont="1" applyBorder="1" applyAlignment="1">
      <alignment vertical="center"/>
    </xf>
    <xf numFmtId="0" fontId="11" fillId="0" borderId="1" xfId="0" applyFont="1" applyBorder="1" applyAlignment="1">
      <alignment horizontal="center" vertical="center"/>
    </xf>
    <xf numFmtId="169" fontId="14" fillId="0" borderId="1" xfId="0" applyNumberFormat="1" applyFont="1" applyBorder="1"/>
    <xf numFmtId="0" fontId="10" fillId="0" borderId="1" xfId="0" applyFont="1" applyBorder="1" applyAlignment="1">
      <alignment vertical="center"/>
    </xf>
    <xf numFmtId="3" fontId="10" fillId="0" borderId="1" xfId="0" applyNumberFormat="1" applyFont="1" applyBorder="1" applyAlignment="1">
      <alignment horizontal="center" vertical="center"/>
    </xf>
    <xf numFmtId="0" fontId="2" fillId="6" borderId="1" xfId="0" applyFont="1" applyFill="1" applyBorder="1" applyAlignment="1">
      <alignment horizontal="center"/>
    </xf>
    <xf numFmtId="0" fontId="0" fillId="0" borderId="1" xfId="0" applyBorder="1" applyAlignment="1">
      <alignment vertical="center" wrapText="1"/>
    </xf>
    <xf numFmtId="0" fontId="0" fillId="0" borderId="1" xfId="0" applyBorder="1" applyAlignment="1">
      <alignment horizontal="left"/>
    </xf>
    <xf numFmtId="0" fontId="1" fillId="0" borderId="1" xfId="4" applyBorder="1" applyAlignment="1">
      <alignment horizontal="left"/>
    </xf>
    <xf numFmtId="0" fontId="0" fillId="0" borderId="54" xfId="0" applyBorder="1" applyAlignment="1">
      <alignment horizontal="left"/>
    </xf>
    <xf numFmtId="9" fontId="0" fillId="0" borderId="0" xfId="2" applyFont="1"/>
    <xf numFmtId="0" fontId="10" fillId="10" borderId="42" xfId="0" applyFont="1" applyFill="1" applyBorder="1" applyAlignment="1">
      <alignment vertical="center" wrapText="1"/>
    </xf>
    <xf numFmtId="0" fontId="10" fillId="10" borderId="43" xfId="0" applyFont="1" applyFill="1" applyBorder="1" applyAlignment="1">
      <alignment vertical="center" wrapText="1"/>
    </xf>
    <xf numFmtId="0" fontId="10" fillId="10" borderId="43" xfId="0" applyFont="1" applyFill="1" applyBorder="1" applyAlignment="1">
      <alignment horizontal="left" vertical="center" wrapText="1"/>
    </xf>
    <xf numFmtId="0" fontId="10" fillId="10" borderId="43" xfId="0" applyFont="1" applyFill="1" applyBorder="1" applyAlignment="1">
      <alignment horizontal="center" vertical="center" wrapText="1"/>
    </xf>
    <xf numFmtId="0" fontId="14" fillId="0" borderId="45" xfId="0" applyFont="1" applyBorder="1"/>
    <xf numFmtId="0" fontId="14" fillId="0" borderId="56" xfId="0" applyFont="1" applyBorder="1"/>
    <xf numFmtId="0" fontId="14" fillId="0" borderId="57" xfId="0" applyFont="1" applyBorder="1"/>
    <xf numFmtId="0" fontId="13" fillId="0" borderId="57" xfId="0" applyFont="1" applyBorder="1"/>
    <xf numFmtId="0" fontId="10" fillId="21" borderId="1" xfId="0" applyFont="1" applyFill="1" applyBorder="1" applyAlignment="1">
      <alignment horizontal="center" vertical="center"/>
    </xf>
    <xf numFmtId="169" fontId="14" fillId="21" borderId="1" xfId="0" applyNumberFormat="1" applyFont="1" applyFill="1" applyBorder="1"/>
    <xf numFmtId="169" fontId="13" fillId="21" borderId="1" xfId="0" applyNumberFormat="1" applyFont="1" applyFill="1" applyBorder="1"/>
    <xf numFmtId="169" fontId="14" fillId="21" borderId="55" xfId="0" applyNumberFormat="1" applyFont="1" applyFill="1" applyBorder="1"/>
    <xf numFmtId="169" fontId="14" fillId="21" borderId="55" xfId="1" applyNumberFormat="1" applyFont="1" applyFill="1" applyBorder="1"/>
    <xf numFmtId="169" fontId="14" fillId="0" borderId="57" xfId="0" applyNumberFormat="1" applyFont="1" applyBorder="1"/>
    <xf numFmtId="169" fontId="13" fillId="21" borderId="58" xfId="0" applyNumberFormat="1" applyFont="1" applyFill="1" applyBorder="1"/>
    <xf numFmtId="0" fontId="2" fillId="0" borderId="20" xfId="0" applyFont="1" applyBorder="1"/>
    <xf numFmtId="0" fontId="36" fillId="14" borderId="1" xfId="0" applyFont="1" applyFill="1" applyBorder="1" applyAlignment="1">
      <alignment horizontal="center" vertical="center"/>
    </xf>
    <xf numFmtId="0" fontId="36" fillId="14" borderId="1" xfId="0" applyFont="1" applyFill="1" applyBorder="1" applyAlignment="1">
      <alignment horizontal="center" vertical="center" wrapText="1"/>
    </xf>
    <xf numFmtId="2" fontId="36" fillId="14" borderId="1" xfId="0" applyNumberFormat="1" applyFont="1" applyFill="1" applyBorder="1" applyAlignment="1">
      <alignment horizontal="center" vertical="center" wrapText="1"/>
    </xf>
    <xf numFmtId="0" fontId="37" fillId="0" borderId="1" xfId="0" applyFont="1" applyBorder="1" applyAlignment="1">
      <alignment horizontal="left" vertical="center" wrapText="1"/>
    </xf>
    <xf numFmtId="1" fontId="38" fillId="15" borderId="1" xfId="3" applyNumberFormat="1" applyFont="1" applyFill="1" applyBorder="1" applyAlignment="1">
      <alignment horizontal="center" vertical="center"/>
    </xf>
    <xf numFmtId="1" fontId="37" fillId="0" borderId="1" xfId="0" applyNumberFormat="1" applyFont="1" applyBorder="1" applyAlignment="1">
      <alignment horizontal="center" vertical="center"/>
    </xf>
    <xf numFmtId="165" fontId="38" fillId="15" borderId="1" xfId="3" applyNumberFormat="1" applyFont="1" applyFill="1" applyBorder="1" applyAlignment="1">
      <alignment horizontal="justify" vertical="center"/>
    </xf>
    <xf numFmtId="165" fontId="37" fillId="0" borderId="1" xfId="3" applyNumberFormat="1" applyFont="1" applyBorder="1" applyAlignment="1">
      <alignment horizontal="center" vertical="center"/>
    </xf>
    <xf numFmtId="0" fontId="37" fillId="0" borderId="1" xfId="0" applyFont="1" applyBorder="1"/>
    <xf numFmtId="9" fontId="37" fillId="0" borderId="1" xfId="2" applyFont="1" applyBorder="1" applyAlignment="1">
      <alignment horizontal="center"/>
    </xf>
    <xf numFmtId="165" fontId="37" fillId="0" borderId="1" xfId="0" applyNumberFormat="1" applyFont="1" applyBorder="1"/>
    <xf numFmtId="9" fontId="37" fillId="0" borderId="1" xfId="0" applyNumberFormat="1" applyFont="1" applyBorder="1" applyAlignment="1">
      <alignment horizontal="center"/>
    </xf>
    <xf numFmtId="0" fontId="37" fillId="0" borderId="1" xfId="0" applyFont="1" applyBorder="1" applyAlignment="1">
      <alignment horizontal="center"/>
    </xf>
    <xf numFmtId="0" fontId="37" fillId="0" borderId="1" xfId="0" applyFont="1" applyBorder="1" applyAlignment="1">
      <alignment horizontal="center" vertical="center"/>
    </xf>
    <xf numFmtId="165" fontId="39" fillId="0" borderId="1" xfId="0" applyNumberFormat="1" applyFont="1" applyBorder="1"/>
    <xf numFmtId="165" fontId="0" fillId="0" borderId="0" xfId="0" applyNumberFormat="1"/>
    <xf numFmtId="0" fontId="0" fillId="0" borderId="0" xfId="0" applyAlignment="1">
      <alignment horizontal="center" vertical="center"/>
    </xf>
    <xf numFmtId="165" fontId="0" fillId="0" borderId="0" xfId="3" applyNumberFormat="1" applyFont="1"/>
    <xf numFmtId="2" fontId="10" fillId="0" borderId="52" xfId="0" applyNumberFormat="1" applyFont="1" applyBorder="1" applyAlignment="1">
      <alignment horizontal="right" vertical="center"/>
    </xf>
    <xf numFmtId="165" fontId="18" fillId="3" borderId="1" xfId="3" applyNumberFormat="1" applyFont="1" applyFill="1" applyBorder="1" applyAlignment="1">
      <alignment horizontal="right" vertical="center" wrapText="1"/>
    </xf>
    <xf numFmtId="0" fontId="10" fillId="0" borderId="59" xfId="0" applyFont="1" applyBorder="1" applyAlignment="1">
      <alignment horizontal="center" vertical="center" readingOrder="1"/>
    </xf>
    <xf numFmtId="0" fontId="11" fillId="0" borderId="60" xfId="0" applyFont="1" applyBorder="1" applyAlignment="1">
      <alignment vertical="center" readingOrder="1"/>
    </xf>
    <xf numFmtId="0" fontId="11" fillId="0" borderId="59" xfId="0" applyFont="1" applyBorder="1" applyAlignment="1">
      <alignment horizontal="center" readingOrder="1"/>
    </xf>
    <xf numFmtId="0" fontId="11" fillId="0" borderId="61" xfId="0" applyFont="1" applyBorder="1" applyAlignment="1">
      <alignment vertical="center" readingOrder="1"/>
    </xf>
    <xf numFmtId="0" fontId="11" fillId="0" borderId="62" xfId="0" applyFont="1" applyBorder="1" applyAlignment="1">
      <alignment readingOrder="1"/>
    </xf>
    <xf numFmtId="0" fontId="11" fillId="0" borderId="63" xfId="0" applyFont="1" applyBorder="1" applyAlignment="1">
      <alignment readingOrder="1"/>
    </xf>
    <xf numFmtId="169" fontId="11" fillId="0" borderId="59" xfId="1" applyNumberFormat="1" applyFont="1" applyBorder="1" applyAlignment="1">
      <alignment horizontal="center" readingOrder="1"/>
    </xf>
    <xf numFmtId="169" fontId="11" fillId="0" borderId="52" xfId="1" applyNumberFormat="1" applyFont="1" applyBorder="1" applyAlignment="1">
      <alignment horizontal="right" vertical="center"/>
    </xf>
    <xf numFmtId="169" fontId="10" fillId="0" borderId="52" xfId="1" applyNumberFormat="1" applyFont="1" applyBorder="1" applyAlignment="1">
      <alignment horizontal="right" vertical="center"/>
    </xf>
    <xf numFmtId="43" fontId="0" fillId="3" borderId="0" xfId="0" applyNumberFormat="1" applyFill="1"/>
    <xf numFmtId="169" fontId="14" fillId="20" borderId="64" xfId="1" applyNumberFormat="1" applyFont="1" applyFill="1" applyBorder="1" applyAlignment="1">
      <alignment horizontal="center"/>
    </xf>
    <xf numFmtId="169" fontId="14" fillId="20" borderId="65" xfId="1" applyNumberFormat="1" applyFont="1" applyFill="1" applyBorder="1" applyAlignment="1">
      <alignment horizontal="center"/>
    </xf>
    <xf numFmtId="169" fontId="13" fillId="20" borderId="1" xfId="1" applyNumberFormat="1" applyFont="1" applyFill="1" applyBorder="1" applyAlignment="1">
      <alignment horizontal="center"/>
    </xf>
    <xf numFmtId="0" fontId="10" fillId="3" borderId="1" xfId="0" applyFont="1" applyFill="1" applyBorder="1" applyAlignment="1">
      <alignment horizontal="left" vertical="center" readingOrder="1"/>
    </xf>
    <xf numFmtId="0" fontId="10" fillId="21" borderId="1" xfId="0" applyFont="1" applyFill="1" applyBorder="1" applyAlignment="1">
      <alignment vertical="center" wrapText="1" readingOrder="1"/>
    </xf>
    <xf numFmtId="0" fontId="10" fillId="21" borderId="1" xfId="0" applyFont="1" applyFill="1" applyBorder="1" applyAlignment="1">
      <alignment horizontal="center" vertical="center" readingOrder="1"/>
    </xf>
    <xf numFmtId="0" fontId="10" fillId="20" borderId="1" xfId="0" applyFont="1" applyFill="1" applyBorder="1" applyAlignment="1">
      <alignment horizontal="center" vertical="center" wrapText="1" readingOrder="1"/>
    </xf>
    <xf numFmtId="0" fontId="10" fillId="20" borderId="1" xfId="0" applyFont="1" applyFill="1" applyBorder="1" applyAlignment="1">
      <alignment horizontal="center" vertical="center" readingOrder="1"/>
    </xf>
    <xf numFmtId="0" fontId="10" fillId="23" borderId="1" xfId="0" applyFont="1" applyFill="1" applyBorder="1" applyAlignment="1">
      <alignment vertical="center" wrapText="1" readingOrder="1"/>
    </xf>
    <xf numFmtId="0" fontId="10" fillId="23" borderId="1" xfId="0" applyFont="1" applyFill="1" applyBorder="1" applyAlignment="1">
      <alignment horizontal="center" vertical="center" readingOrder="1"/>
    </xf>
    <xf numFmtId="0" fontId="10" fillId="16" borderId="1" xfId="0" applyFont="1" applyFill="1" applyBorder="1" applyAlignment="1">
      <alignment vertical="center" wrapText="1" readingOrder="1"/>
    </xf>
    <xf numFmtId="0" fontId="10" fillId="16" borderId="1" xfId="0" applyFont="1" applyFill="1" applyBorder="1" applyAlignment="1">
      <alignment horizontal="center" vertical="center" readingOrder="1"/>
    </xf>
    <xf numFmtId="0" fontId="10" fillId="5" borderId="1" xfId="0" applyFont="1" applyFill="1" applyBorder="1" applyAlignment="1">
      <alignment vertical="center" wrapText="1" readingOrder="1"/>
    </xf>
    <xf numFmtId="0" fontId="10" fillId="5" borderId="1" xfId="0" applyFont="1" applyFill="1" applyBorder="1" applyAlignment="1">
      <alignment horizontal="center" vertical="center" readingOrder="1"/>
    </xf>
    <xf numFmtId="0" fontId="10" fillId="28" borderId="1" xfId="0" applyFont="1" applyFill="1" applyBorder="1" applyAlignment="1">
      <alignment vertical="center" wrapText="1" readingOrder="1"/>
    </xf>
    <xf numFmtId="0" fontId="10" fillId="28" borderId="1" xfId="0" applyFont="1" applyFill="1" applyBorder="1" applyAlignment="1">
      <alignment horizontal="center" vertical="center" readingOrder="1"/>
    </xf>
    <xf numFmtId="0" fontId="14" fillId="3" borderId="64" xfId="0" applyFont="1" applyFill="1" applyBorder="1" applyAlignment="1">
      <alignment horizontal="left" vertical="center" readingOrder="1"/>
    </xf>
    <xf numFmtId="169" fontId="14" fillId="21" borderId="64" xfId="1" applyNumberFormat="1" applyFont="1" applyFill="1" applyBorder="1" applyAlignment="1">
      <alignment horizontal="center"/>
    </xf>
    <xf numFmtId="9" fontId="14" fillId="21" borderId="64" xfId="2" applyFont="1" applyFill="1" applyBorder="1" applyAlignment="1">
      <alignment horizontal="center"/>
    </xf>
    <xf numFmtId="9" fontId="14" fillId="20" borderId="64" xfId="2" applyFont="1" applyFill="1" applyBorder="1" applyAlignment="1">
      <alignment horizontal="center"/>
    </xf>
    <xf numFmtId="169" fontId="14" fillId="23" borderId="64" xfId="1" applyNumberFormat="1" applyFont="1" applyFill="1" applyBorder="1" applyAlignment="1">
      <alignment horizontal="center"/>
    </xf>
    <xf numFmtId="9" fontId="14" fillId="23" borderId="64" xfId="2" applyFont="1" applyFill="1" applyBorder="1" applyAlignment="1">
      <alignment horizontal="center"/>
    </xf>
    <xf numFmtId="169" fontId="14" fillId="16" borderId="64" xfId="1" applyNumberFormat="1" applyFont="1" applyFill="1" applyBorder="1" applyAlignment="1">
      <alignment horizontal="center"/>
    </xf>
    <xf numFmtId="9" fontId="14" fillId="16" borderId="64" xfId="2" applyFont="1" applyFill="1" applyBorder="1" applyAlignment="1">
      <alignment horizontal="center"/>
    </xf>
    <xf numFmtId="169" fontId="14" fillId="5" borderId="64" xfId="1" applyNumberFormat="1" applyFont="1" applyFill="1" applyBorder="1" applyAlignment="1">
      <alignment horizontal="center"/>
    </xf>
    <xf numFmtId="10" fontId="14" fillId="5" borderId="64" xfId="2" applyNumberFormat="1" applyFont="1" applyFill="1" applyBorder="1" applyAlignment="1">
      <alignment horizontal="center"/>
    </xf>
    <xf numFmtId="169" fontId="11" fillId="28" borderId="64" xfId="1" applyNumberFormat="1" applyFont="1" applyFill="1" applyBorder="1" applyAlignment="1">
      <alignment horizontal="center" vertical="center" wrapText="1" readingOrder="1"/>
    </xf>
    <xf numFmtId="10" fontId="11" fillId="28" borderId="64" xfId="2" applyNumberFormat="1" applyFont="1" applyFill="1" applyBorder="1" applyAlignment="1">
      <alignment vertical="center" wrapText="1" readingOrder="1"/>
    </xf>
    <xf numFmtId="0" fontId="14" fillId="0" borderId="65" xfId="0" applyFont="1" applyBorder="1" applyAlignment="1">
      <alignment horizontal="left" readingOrder="1"/>
    </xf>
    <xf numFmtId="169" fontId="14" fillId="21" borderId="65" xfId="1" applyNumberFormat="1" applyFont="1" applyFill="1" applyBorder="1" applyAlignment="1">
      <alignment horizontal="center"/>
    </xf>
    <xf numFmtId="169" fontId="14" fillId="23" borderId="65" xfId="1" applyNumberFormat="1" applyFont="1" applyFill="1" applyBorder="1" applyAlignment="1">
      <alignment horizontal="center"/>
    </xf>
    <xf numFmtId="169" fontId="14" fillId="5" borderId="65" xfId="1" applyNumberFormat="1" applyFont="1" applyFill="1" applyBorder="1" applyAlignment="1">
      <alignment horizontal="center"/>
    </xf>
    <xf numFmtId="169" fontId="10" fillId="28" borderId="65" xfId="1" applyNumberFormat="1" applyFont="1" applyFill="1" applyBorder="1" applyAlignment="1">
      <alignment horizontal="center" vertical="center" wrapText="1" readingOrder="1"/>
    </xf>
    <xf numFmtId="0" fontId="14" fillId="0" borderId="65" xfId="0" applyFont="1" applyBorder="1" applyAlignment="1">
      <alignment horizontal="left" wrapText="1" readingOrder="1"/>
    </xf>
    <xf numFmtId="169" fontId="11" fillId="28" borderId="65" xfId="1" applyNumberFormat="1" applyFont="1" applyFill="1" applyBorder="1" applyAlignment="1">
      <alignment horizontal="center" vertical="center" wrapText="1" readingOrder="1"/>
    </xf>
    <xf numFmtId="169" fontId="14" fillId="21" borderId="65" xfId="1" applyNumberFormat="1" applyFont="1" applyFill="1" applyBorder="1" applyAlignment="1">
      <alignment horizontal="center" vertical="center"/>
    </xf>
    <xf numFmtId="169" fontId="14" fillId="23" borderId="65" xfId="1" applyNumberFormat="1" applyFont="1" applyFill="1" applyBorder="1" applyAlignment="1">
      <alignment horizontal="center" vertical="center"/>
    </xf>
    <xf numFmtId="169" fontId="14" fillId="16" borderId="65" xfId="1" applyNumberFormat="1" applyFont="1" applyFill="1" applyBorder="1" applyAlignment="1">
      <alignment horizontal="center"/>
    </xf>
    <xf numFmtId="0" fontId="10" fillId="28" borderId="65" xfId="0" applyFont="1" applyFill="1" applyBorder="1" applyAlignment="1">
      <alignment horizontal="center" vertical="center" wrapText="1" readingOrder="1"/>
    </xf>
    <xf numFmtId="3" fontId="14" fillId="0" borderId="65" xfId="0" applyNumberFormat="1" applyFont="1" applyBorder="1" applyAlignment="1">
      <alignment horizontal="left" vertical="center"/>
    </xf>
    <xf numFmtId="3" fontId="14" fillId="0" borderId="65" xfId="5" applyNumberFormat="1" applyFont="1" applyBorder="1" applyAlignment="1">
      <alignment horizontal="left" vertical="center" wrapText="1"/>
    </xf>
    <xf numFmtId="3" fontId="14" fillId="0" borderId="66" xfId="9" applyNumberFormat="1" applyFont="1" applyFill="1" applyBorder="1" applyAlignment="1">
      <alignment horizontal="left" vertical="center" wrapText="1"/>
    </xf>
    <xf numFmtId="169" fontId="14" fillId="21" borderId="66" xfId="1" applyNumberFormat="1" applyFont="1" applyFill="1" applyBorder="1" applyAlignment="1">
      <alignment horizontal="center" vertical="center"/>
    </xf>
    <xf numFmtId="169" fontId="14" fillId="23" borderId="66" xfId="1" applyNumberFormat="1" applyFont="1" applyFill="1" applyBorder="1" applyAlignment="1">
      <alignment horizontal="center" vertical="center"/>
    </xf>
    <xf numFmtId="169" fontId="14" fillId="16" borderId="66" xfId="1" applyNumberFormat="1" applyFont="1" applyFill="1" applyBorder="1" applyAlignment="1">
      <alignment horizontal="center"/>
    </xf>
    <xf numFmtId="169" fontId="14" fillId="5" borderId="66" xfId="1" applyNumberFormat="1" applyFont="1" applyFill="1" applyBorder="1" applyAlignment="1">
      <alignment horizontal="center"/>
    </xf>
    <xf numFmtId="0" fontId="10" fillId="28" borderId="66" xfId="0" applyFont="1" applyFill="1" applyBorder="1" applyAlignment="1">
      <alignment horizontal="center" vertical="center" wrapText="1" readingOrder="1"/>
    </xf>
    <xf numFmtId="0" fontId="11" fillId="3" borderId="1" xfId="0" applyFont="1" applyFill="1" applyBorder="1" applyAlignment="1">
      <alignment horizontal="center" readingOrder="1"/>
    </xf>
    <xf numFmtId="169" fontId="13" fillId="22" borderId="1" xfId="1" applyNumberFormat="1" applyFont="1" applyFill="1" applyBorder="1" applyAlignment="1">
      <alignment horizontal="center"/>
    </xf>
    <xf numFmtId="169" fontId="13" fillId="25" borderId="1" xfId="1" applyNumberFormat="1" applyFont="1" applyFill="1" applyBorder="1" applyAlignment="1">
      <alignment horizontal="center"/>
    </xf>
    <xf numFmtId="169" fontId="13" fillId="26" borderId="1" xfId="1" applyNumberFormat="1" applyFont="1" applyFill="1" applyBorder="1" applyAlignment="1">
      <alignment horizontal="center"/>
    </xf>
    <xf numFmtId="169" fontId="13" fillId="5" borderId="1" xfId="1" applyNumberFormat="1" applyFont="1" applyFill="1" applyBorder="1" applyAlignment="1">
      <alignment horizontal="center"/>
    </xf>
    <xf numFmtId="169" fontId="13" fillId="27" borderId="1" xfId="0" applyNumberFormat="1" applyFont="1" applyFill="1" applyBorder="1" applyAlignment="1">
      <alignment horizontal="center"/>
    </xf>
    <xf numFmtId="0" fontId="11" fillId="0" borderId="18" xfId="0" applyFont="1" applyBorder="1" applyAlignment="1">
      <alignment horizontal="center" vertical="center"/>
    </xf>
    <xf numFmtId="0" fontId="11" fillId="0" borderId="19" xfId="0" applyFont="1" applyBorder="1" applyAlignment="1">
      <alignment horizontal="center" vertical="center"/>
    </xf>
    <xf numFmtId="0" fontId="11" fillId="0" borderId="16" xfId="0" applyFont="1" applyBorder="1" applyAlignment="1">
      <alignment horizontal="center" vertical="center"/>
    </xf>
    <xf numFmtId="0" fontId="0" fillId="9" borderId="20" xfId="0" applyFill="1" applyBorder="1" applyAlignment="1">
      <alignment horizontal="center"/>
    </xf>
    <xf numFmtId="0" fontId="0" fillId="22" borderId="20" xfId="0" applyFill="1" applyBorder="1" applyAlignment="1">
      <alignment horizontal="center"/>
    </xf>
    <xf numFmtId="0" fontId="0" fillId="23" borderId="20" xfId="0" applyFill="1" applyBorder="1" applyAlignment="1">
      <alignment horizontal="center"/>
    </xf>
    <xf numFmtId="0" fontId="11" fillId="0" borderId="53" xfId="0" applyFont="1" applyBorder="1" applyAlignment="1">
      <alignment vertical="center"/>
    </xf>
    <xf numFmtId="0" fontId="11" fillId="0" borderId="51" xfId="0" applyFont="1" applyBorder="1" applyAlignment="1">
      <alignment vertical="center"/>
    </xf>
    <xf numFmtId="0" fontId="35" fillId="12" borderId="9" xfId="0" applyFont="1" applyFill="1" applyBorder="1" applyAlignment="1">
      <alignment horizontal="center" vertical="center"/>
    </xf>
    <xf numFmtId="0" fontId="35" fillId="12" borderId="20" xfId="0" applyFont="1" applyFill="1" applyBorder="1" applyAlignment="1">
      <alignment horizontal="center" vertical="center"/>
    </xf>
    <xf numFmtId="0" fontId="36" fillId="13" borderId="1" xfId="0" applyFont="1" applyFill="1" applyBorder="1" applyAlignment="1">
      <alignment horizontal="center" vertical="center"/>
    </xf>
    <xf numFmtId="0" fontId="36" fillId="14" borderId="1" xfId="0" applyFont="1" applyFill="1" applyBorder="1" applyAlignment="1">
      <alignment horizontal="center" vertical="center"/>
    </xf>
    <xf numFmtId="0" fontId="36" fillId="14" borderId="1" xfId="0" applyFont="1" applyFill="1" applyBorder="1" applyAlignment="1">
      <alignment horizontal="center" vertical="center" wrapText="1"/>
    </xf>
    <xf numFmtId="0" fontId="36" fillId="14" borderId="2" xfId="0" applyFont="1" applyFill="1" applyBorder="1" applyAlignment="1">
      <alignment horizontal="center" vertical="center"/>
    </xf>
    <xf numFmtId="0" fontId="36" fillId="14" borderId="3" xfId="0" applyFont="1" applyFill="1" applyBorder="1" applyAlignment="1">
      <alignment horizontal="center" vertical="center"/>
    </xf>
    <xf numFmtId="0" fontId="16" fillId="10" borderId="1" xfId="0" applyFont="1" applyFill="1" applyBorder="1" applyAlignment="1">
      <alignment horizontal="center" vertical="center" wrapText="1"/>
    </xf>
    <xf numFmtId="0" fontId="17" fillId="3" borderId="1" xfId="0" applyFont="1" applyFill="1" applyBorder="1" applyAlignment="1">
      <alignment horizontal="left" vertical="center" wrapText="1"/>
    </xf>
    <xf numFmtId="0" fontId="17" fillId="3" borderId="6" xfId="0" applyFont="1" applyFill="1" applyBorder="1" applyAlignment="1">
      <alignment horizontal="left" vertical="center" wrapText="1"/>
    </xf>
    <xf numFmtId="0" fontId="17" fillId="3" borderId="4" xfId="0" applyFont="1" applyFill="1" applyBorder="1" applyAlignment="1">
      <alignment horizontal="left" vertical="center" wrapText="1"/>
    </xf>
    <xf numFmtId="0" fontId="19" fillId="4" borderId="1" xfId="0" applyFont="1" applyFill="1" applyBorder="1" applyAlignment="1">
      <alignment vertical="center" wrapText="1"/>
    </xf>
    <xf numFmtId="0" fontId="13" fillId="27" borderId="1" xfId="0" applyFont="1" applyFill="1" applyBorder="1" applyAlignment="1">
      <alignment horizontal="center" vertical="center"/>
    </xf>
    <xf numFmtId="0" fontId="10" fillId="3" borderId="6" xfId="0" applyFont="1" applyFill="1" applyBorder="1" applyAlignment="1">
      <alignment horizontal="left" vertical="center" wrapText="1" readingOrder="1"/>
    </xf>
    <xf numFmtId="0" fontId="10" fillId="3" borderId="4" xfId="0" applyFont="1" applyFill="1" applyBorder="1" applyAlignment="1">
      <alignment horizontal="left" vertical="center" wrapText="1" readingOrder="1"/>
    </xf>
    <xf numFmtId="0" fontId="10" fillId="3" borderId="7" xfId="0" applyFont="1" applyFill="1" applyBorder="1" applyAlignment="1">
      <alignment horizontal="left" vertical="center" wrapText="1" readingOrder="1"/>
    </xf>
    <xf numFmtId="0" fontId="13" fillId="22" borderId="6" xfId="0" applyFont="1" applyFill="1" applyBorder="1" applyAlignment="1">
      <alignment horizontal="center"/>
    </xf>
    <xf numFmtId="0" fontId="13" fillId="22" borderId="7" xfId="0" applyFont="1" applyFill="1" applyBorder="1" applyAlignment="1">
      <alignment horizontal="center"/>
    </xf>
    <xf numFmtId="0" fontId="13" fillId="29" borderId="6" xfId="0" applyFont="1" applyFill="1" applyBorder="1" applyAlignment="1">
      <alignment horizontal="center"/>
    </xf>
    <xf numFmtId="0" fontId="13" fillId="29" borderId="7" xfId="0" applyFont="1" applyFill="1" applyBorder="1" applyAlignment="1">
      <alignment horizontal="center"/>
    </xf>
    <xf numFmtId="0" fontId="10" fillId="3" borderId="1" xfId="0" applyFont="1" applyFill="1" applyBorder="1" applyAlignment="1">
      <alignment horizontal="left" vertical="center" readingOrder="1"/>
    </xf>
    <xf numFmtId="0" fontId="13" fillId="24" borderId="1" xfId="0" applyFont="1" applyFill="1" applyBorder="1" applyAlignment="1">
      <alignment horizontal="center"/>
    </xf>
    <xf numFmtId="0" fontId="13" fillId="25" borderId="1" xfId="0" applyFont="1" applyFill="1" applyBorder="1" applyAlignment="1">
      <alignment horizontal="center"/>
    </xf>
    <xf numFmtId="0" fontId="13" fillId="26" borderId="1" xfId="0" applyFont="1" applyFill="1" applyBorder="1" applyAlignment="1">
      <alignment horizontal="center"/>
    </xf>
    <xf numFmtId="0" fontId="10" fillId="12" borderId="9" xfId="0" applyFont="1" applyFill="1" applyBorder="1" applyAlignment="1">
      <alignment horizontal="center" vertical="center"/>
    </xf>
    <xf numFmtId="0" fontId="10" fillId="12" borderId="20" xfId="0" applyFont="1" applyFill="1" applyBorder="1" applyAlignment="1">
      <alignment horizontal="center" vertical="center"/>
    </xf>
    <xf numFmtId="0" fontId="11" fillId="13" borderId="1" xfId="0" applyFont="1" applyFill="1" applyBorder="1" applyAlignment="1">
      <alignment horizontal="center" vertical="center"/>
    </xf>
    <xf numFmtId="0" fontId="11" fillId="14" borderId="1" xfId="0" applyFont="1" applyFill="1" applyBorder="1" applyAlignment="1">
      <alignment horizontal="center" vertical="center" wrapText="1"/>
    </xf>
    <xf numFmtId="0" fontId="11" fillId="14" borderId="1" xfId="0" applyFont="1" applyFill="1" applyBorder="1" applyAlignment="1">
      <alignment horizontal="center" vertical="center"/>
    </xf>
    <xf numFmtId="0" fontId="11" fillId="14" borderId="6" xfId="0" applyFont="1" applyFill="1" applyBorder="1" applyAlignment="1">
      <alignment horizontal="center" vertical="center"/>
    </xf>
    <xf numFmtId="0" fontId="11" fillId="14" borderId="4" xfId="0" applyFont="1" applyFill="1" applyBorder="1" applyAlignment="1">
      <alignment horizontal="center" vertical="center"/>
    </xf>
    <xf numFmtId="0" fontId="11" fillId="14" borderId="7" xfId="0" applyFont="1" applyFill="1" applyBorder="1" applyAlignment="1">
      <alignment horizontal="center" vertical="center"/>
    </xf>
    <xf numFmtId="0" fontId="15" fillId="6" borderId="6" xfId="0" applyFont="1" applyFill="1" applyBorder="1" applyAlignment="1">
      <alignment horizontal="center" vertical="center"/>
    </xf>
    <xf numFmtId="0" fontId="15" fillId="6" borderId="4" xfId="0" applyFont="1" applyFill="1" applyBorder="1" applyAlignment="1">
      <alignment horizontal="center" vertical="center"/>
    </xf>
    <xf numFmtId="0" fontId="15" fillId="6" borderId="7" xfId="0" applyFont="1" applyFill="1" applyBorder="1" applyAlignment="1">
      <alignment horizontal="center" vertical="center"/>
    </xf>
    <xf numFmtId="0" fontId="14" fillId="0" borderId="5" xfId="0" applyFont="1" applyBorder="1" applyAlignment="1">
      <alignment horizontal="left"/>
    </xf>
    <xf numFmtId="0" fontId="14" fillId="0" borderId="0" xfId="0" applyFont="1" applyAlignment="1">
      <alignment horizontal="left" wrapText="1"/>
    </xf>
    <xf numFmtId="0" fontId="4" fillId="2" borderId="1" xfId="0" applyFont="1" applyFill="1" applyBorder="1" applyAlignment="1">
      <alignment horizontal="center" vertical="center" wrapText="1"/>
    </xf>
    <xf numFmtId="0" fontId="2" fillId="3" borderId="1" xfId="0" applyFont="1" applyFill="1" applyBorder="1" applyAlignment="1">
      <alignment horizontal="left" vertical="center"/>
    </xf>
    <xf numFmtId="0" fontId="2" fillId="5" borderId="1" xfId="0" applyFont="1" applyFill="1" applyBorder="1" applyAlignment="1">
      <alignment horizontal="center" vertical="center"/>
    </xf>
    <xf numFmtId="3" fontId="8" fillId="2" borderId="1" xfId="0" applyNumberFormat="1" applyFont="1" applyFill="1" applyBorder="1" applyAlignment="1">
      <alignment horizontal="center" vertical="center"/>
    </xf>
    <xf numFmtId="3" fontId="8" fillId="6" borderId="1" xfId="0" applyNumberFormat="1" applyFont="1" applyFill="1" applyBorder="1" applyAlignment="1">
      <alignment horizontal="center" vertical="center"/>
    </xf>
    <xf numFmtId="0" fontId="2" fillId="6" borderId="1" xfId="0" applyFont="1" applyFill="1" applyBorder="1" applyAlignment="1">
      <alignment horizontal="center" vertical="center" wrapText="1"/>
    </xf>
    <xf numFmtId="0" fontId="2" fillId="6" borderId="1" xfId="0" applyFont="1" applyFill="1" applyBorder="1" applyAlignment="1">
      <alignment horizontal="center" vertical="center"/>
    </xf>
    <xf numFmtId="0" fontId="2" fillId="7" borderId="6" xfId="0" applyFont="1" applyFill="1" applyBorder="1" applyAlignment="1">
      <alignment horizontal="center" vertical="center"/>
    </xf>
    <xf numFmtId="0" fontId="2" fillId="7" borderId="4" xfId="0" applyFont="1" applyFill="1" applyBorder="1" applyAlignment="1">
      <alignment horizontal="center" vertical="center"/>
    </xf>
    <xf numFmtId="0" fontId="2" fillId="7" borderId="7" xfId="0" applyFont="1" applyFill="1" applyBorder="1" applyAlignment="1">
      <alignment horizontal="center" vertical="center"/>
    </xf>
    <xf numFmtId="0" fontId="2" fillId="5" borderId="2" xfId="0" applyFont="1" applyFill="1" applyBorder="1" applyAlignment="1">
      <alignment horizontal="center" vertical="center"/>
    </xf>
    <xf numFmtId="0" fontId="2" fillId="5" borderId="3" xfId="0" applyFont="1" applyFill="1" applyBorder="1" applyAlignment="1">
      <alignment horizontal="center" vertical="center"/>
    </xf>
    <xf numFmtId="0" fontId="2" fillId="7" borderId="1" xfId="0" applyFont="1" applyFill="1" applyBorder="1" applyAlignment="1">
      <alignment horizontal="center" vertical="center"/>
    </xf>
    <xf numFmtId="0" fontId="2" fillId="7" borderId="2" xfId="0" applyFont="1" applyFill="1" applyBorder="1" applyAlignment="1">
      <alignment horizontal="center" vertical="center"/>
    </xf>
    <xf numFmtId="0" fontId="2" fillId="7" borderId="3" xfId="0" applyFont="1" applyFill="1" applyBorder="1" applyAlignment="1">
      <alignment horizontal="center" vertical="center"/>
    </xf>
    <xf numFmtId="0" fontId="2" fillId="6" borderId="6" xfId="0" applyFont="1" applyFill="1" applyBorder="1" applyAlignment="1">
      <alignment horizontal="center" vertical="center"/>
    </xf>
    <xf numFmtId="0" fontId="2" fillId="6" borderId="4" xfId="0" applyFont="1" applyFill="1" applyBorder="1" applyAlignment="1">
      <alignment horizontal="center" vertical="center"/>
    </xf>
    <xf numFmtId="0" fontId="2" fillId="6" borderId="7" xfId="0" applyFont="1" applyFill="1" applyBorder="1" applyAlignment="1">
      <alignment horizontal="center" vertical="center"/>
    </xf>
    <xf numFmtId="3" fontId="24" fillId="0" borderId="8" xfId="5" applyNumberFormat="1" applyFont="1" applyBorder="1" applyAlignment="1">
      <alignment horizontal="center" vertical="center"/>
    </xf>
    <xf numFmtId="3" fontId="24" fillId="0" borderId="5" xfId="5" applyNumberFormat="1" applyFont="1" applyBorder="1" applyAlignment="1">
      <alignment horizontal="center" vertical="center"/>
    </xf>
    <xf numFmtId="3" fontId="24" fillId="0" borderId="11" xfId="5" applyNumberFormat="1" applyFont="1" applyBorder="1" applyAlignment="1">
      <alignment horizontal="center" vertical="center"/>
    </xf>
    <xf numFmtId="3" fontId="26" fillId="0" borderId="9" xfId="5" applyNumberFormat="1" applyFont="1" applyBorder="1" applyAlignment="1">
      <alignment horizontal="center" vertical="center"/>
    </xf>
    <xf numFmtId="3" fontId="26" fillId="0" borderId="20" xfId="5" applyNumberFormat="1" applyFont="1" applyBorder="1" applyAlignment="1">
      <alignment horizontal="center" vertical="center"/>
    </xf>
    <xf numFmtId="3" fontId="26" fillId="0" borderId="10" xfId="5" applyNumberFormat="1" applyFont="1" applyBorder="1" applyAlignment="1">
      <alignment horizontal="center" vertical="center"/>
    </xf>
    <xf numFmtId="3" fontId="28" fillId="2" borderId="1" xfId="5" applyNumberFormat="1" applyFont="1" applyFill="1" applyBorder="1" applyAlignment="1">
      <alignment horizontal="right" vertical="center"/>
    </xf>
    <xf numFmtId="3" fontId="28" fillId="2" borderId="1" xfId="5" applyNumberFormat="1" applyFont="1" applyFill="1" applyBorder="1" applyAlignment="1">
      <alignment horizontal="center" vertical="center"/>
    </xf>
    <xf numFmtId="3" fontId="24" fillId="0" borderId="5" xfId="7" applyNumberFormat="1" applyFont="1" applyBorder="1" applyAlignment="1">
      <alignment horizontal="center" vertical="center"/>
    </xf>
    <xf numFmtId="3" fontId="24" fillId="0" borderId="11" xfId="7" applyNumberFormat="1" applyFont="1" applyBorder="1" applyAlignment="1">
      <alignment horizontal="center" vertical="center"/>
    </xf>
    <xf numFmtId="3" fontId="26" fillId="0" borderId="20" xfId="7" applyNumberFormat="1" applyFont="1" applyBorder="1" applyAlignment="1">
      <alignment horizontal="center" vertical="center"/>
    </xf>
    <xf numFmtId="3" fontId="26" fillId="0" borderId="10" xfId="7" applyNumberFormat="1" applyFont="1" applyBorder="1" applyAlignment="1">
      <alignment horizontal="center" vertical="center"/>
    </xf>
    <xf numFmtId="3" fontId="28" fillId="2" borderId="1" xfId="7" applyNumberFormat="1" applyFont="1" applyFill="1" applyBorder="1" applyAlignment="1">
      <alignment horizontal="center" vertical="center"/>
    </xf>
    <xf numFmtId="0" fontId="17" fillId="3" borderId="2" xfId="0" applyFont="1" applyFill="1" applyBorder="1" applyAlignment="1">
      <alignment horizontal="left" vertical="center" wrapText="1"/>
    </xf>
    <xf numFmtId="0" fontId="17" fillId="3" borderId="3" xfId="0" applyFont="1" applyFill="1" applyBorder="1" applyAlignment="1">
      <alignment horizontal="left" vertical="center" wrapText="1"/>
    </xf>
    <xf numFmtId="169" fontId="11" fillId="0" borderId="59" xfId="1" applyNumberFormat="1" applyFont="1" applyBorder="1" applyAlignment="1">
      <alignment vertical="center" readingOrder="1"/>
    </xf>
    <xf numFmtId="0" fontId="16" fillId="10" borderId="1" xfId="0" applyFont="1" applyFill="1" applyBorder="1" applyAlignment="1">
      <alignment horizontal="center" vertical="center" wrapText="1"/>
    </xf>
    <xf numFmtId="0" fontId="16" fillId="10" borderId="1" xfId="0" applyFont="1" applyFill="1" applyBorder="1" applyAlignment="1">
      <alignment vertical="center" wrapText="1"/>
    </xf>
    <xf numFmtId="0" fontId="17" fillId="3" borderId="1" xfId="0" applyFont="1" applyFill="1" applyBorder="1" applyAlignment="1">
      <alignment vertical="center" wrapText="1"/>
    </xf>
    <xf numFmtId="165" fontId="17" fillId="3" borderId="1" xfId="10" applyNumberFormat="1" applyFont="1" applyFill="1" applyBorder="1" applyAlignment="1">
      <alignment horizontal="right" vertical="center" wrapText="1"/>
    </xf>
    <xf numFmtId="165" fontId="17" fillId="3" borderId="1" xfId="10" applyNumberFormat="1" applyFont="1" applyFill="1" applyBorder="1" applyAlignment="1">
      <alignment horizontal="center" vertical="center" wrapText="1"/>
    </xf>
    <xf numFmtId="165" fontId="17" fillId="3" borderId="1" xfId="10" applyNumberFormat="1" applyFont="1" applyFill="1" applyBorder="1" applyAlignment="1">
      <alignment horizontal="center" vertical="center"/>
    </xf>
    <xf numFmtId="0" fontId="20" fillId="4" borderId="1" xfId="0" applyFont="1" applyFill="1" applyBorder="1" applyAlignment="1">
      <alignment vertical="center" wrapText="1"/>
    </xf>
    <xf numFmtId="3" fontId="20" fillId="4" borderId="1" xfId="0" applyNumberFormat="1" applyFont="1" applyFill="1" applyBorder="1" applyAlignment="1">
      <alignment horizontal="right" vertical="center" wrapText="1"/>
    </xf>
    <xf numFmtId="0" fontId="17" fillId="3" borderId="1" xfId="0" applyFont="1" applyFill="1" applyBorder="1" applyAlignment="1">
      <alignment horizontal="left" vertical="center" wrapText="1"/>
    </xf>
    <xf numFmtId="0" fontId="16" fillId="10" borderId="1" xfId="0" applyFont="1" applyFill="1" applyBorder="1" applyAlignment="1">
      <alignment horizontal="left" vertical="center" wrapText="1"/>
    </xf>
    <xf numFmtId="0" fontId="19" fillId="4" borderId="1" xfId="0" applyFont="1" applyFill="1" applyBorder="1" applyAlignment="1">
      <alignment horizontal="left" vertical="center" wrapText="1"/>
    </xf>
    <xf numFmtId="165" fontId="17" fillId="0" borderId="1" xfId="10" applyNumberFormat="1" applyFont="1" applyFill="1" applyBorder="1" applyAlignment="1">
      <alignment horizontal="center" vertical="center"/>
    </xf>
    <xf numFmtId="3" fontId="42" fillId="0" borderId="52" xfId="0" applyNumberFormat="1" applyFont="1" applyBorder="1" applyAlignment="1">
      <alignment horizontal="right" vertical="center" wrapText="1"/>
    </xf>
    <xf numFmtId="3" fontId="42" fillId="0" borderId="52" xfId="0" applyNumberFormat="1" applyFont="1" applyBorder="1" applyAlignment="1">
      <alignment horizontal="right" vertical="center" wrapText="1"/>
    </xf>
    <xf numFmtId="3" fontId="43" fillId="0" borderId="1" xfId="0" applyNumberFormat="1" applyFont="1" applyBorder="1" applyAlignment="1">
      <alignment horizontal="right" vertical="center" wrapText="1"/>
    </xf>
    <xf numFmtId="0" fontId="14" fillId="0" borderId="1" xfId="0" applyFont="1" applyBorder="1"/>
    <xf numFmtId="169" fontId="14" fillId="0" borderId="1" xfId="11" applyNumberFormat="1" applyFont="1" applyBorder="1"/>
    <xf numFmtId="169" fontId="13" fillId="0" borderId="1" xfId="0" applyNumberFormat="1" applyFont="1" applyBorder="1"/>
    <xf numFmtId="169" fontId="14" fillId="0" borderId="52" xfId="1" applyNumberFormat="1" applyFont="1" applyBorder="1" applyAlignment="1">
      <alignment horizontal="right" vertical="center"/>
    </xf>
    <xf numFmtId="0" fontId="44" fillId="30" borderId="42" xfId="0" applyFont="1" applyFill="1" applyBorder="1" applyAlignment="1">
      <alignment horizontal="center" vertical="center" readingOrder="1"/>
    </xf>
    <xf numFmtId="0" fontId="44" fillId="30" borderId="45" xfId="0" applyFont="1" applyFill="1" applyBorder="1" applyAlignment="1">
      <alignment horizontal="center" vertical="center" readingOrder="1"/>
    </xf>
    <xf numFmtId="0" fontId="44" fillId="0" borderId="45" xfId="0" applyFont="1" applyBorder="1" applyAlignment="1">
      <alignment horizontal="left" vertical="center" readingOrder="1"/>
    </xf>
    <xf numFmtId="169" fontId="44" fillId="0" borderId="55" xfId="0" applyNumberFormat="1" applyFont="1" applyBorder="1" applyAlignment="1">
      <alignment horizontal="center" vertical="center" readingOrder="1"/>
    </xf>
    <xf numFmtId="169" fontId="44" fillId="0" borderId="55" xfId="0" applyNumberFormat="1" applyFont="1" applyBorder="1" applyAlignment="1">
      <alignment horizontal="center" readingOrder="1"/>
    </xf>
    <xf numFmtId="0" fontId="44" fillId="0" borderId="45" xfId="0" applyFont="1" applyBorder="1" applyAlignment="1">
      <alignment horizontal="left" readingOrder="1"/>
    </xf>
    <xf numFmtId="0" fontId="44" fillId="0" borderId="45" xfId="0" applyFont="1" applyBorder="1" applyAlignment="1">
      <alignment vertical="center"/>
    </xf>
    <xf numFmtId="0" fontId="44" fillId="0" borderId="56" xfId="0" applyFont="1" applyFill="1" applyBorder="1" applyAlignment="1">
      <alignment vertical="center"/>
    </xf>
    <xf numFmtId="169" fontId="44" fillId="0" borderId="58" xfId="0" applyNumberFormat="1" applyFont="1" applyBorder="1"/>
    <xf numFmtId="0" fontId="44" fillId="30" borderId="67" xfId="0" applyFont="1" applyFill="1" applyBorder="1" applyAlignment="1">
      <alignment horizontal="center" vertical="center" readingOrder="1"/>
    </xf>
    <xf numFmtId="0" fontId="44" fillId="30" borderId="68" xfId="0" applyFont="1" applyFill="1" applyBorder="1" applyAlignment="1">
      <alignment horizontal="center" vertical="center" readingOrder="1"/>
    </xf>
  </cellXfs>
  <cellStyles count="15">
    <cellStyle name="Comma" xfId="1" builtinId="3"/>
    <cellStyle name="Comma 2" xfId="3" xr:uid="{08FD66F9-EEFB-4B3C-880A-612B22DC53C1}"/>
    <cellStyle name="Comma 2 2" xfId="14" xr:uid="{05581659-A4DF-4E08-8A20-808F465E2BB5}"/>
    <cellStyle name="Comma 2 3" xfId="10" xr:uid="{3CCED1B1-83C4-410E-B5E9-A1E870277FAD}"/>
    <cellStyle name="Comma 3" xfId="6" xr:uid="{FA4709A4-CA6A-43E5-BDE1-E13708879219}"/>
    <cellStyle name="Comma 3 2" xfId="12" xr:uid="{EAAE56A4-1B02-47AA-A8D1-50829AFE130E}"/>
    <cellStyle name="Comma 4" xfId="8" xr:uid="{470657FF-B246-449A-9E8C-40D0CC64F48E}"/>
    <cellStyle name="Comma 4 2" xfId="13" xr:uid="{A8B55A2D-FC7F-481A-BC85-4A37FE984173}"/>
    <cellStyle name="Comma 5" xfId="11" xr:uid="{4AD6A716-43EC-4218-BBBA-2F4E2BBAD6A6}"/>
    <cellStyle name="Hyperlink" xfId="9" builtinId="8"/>
    <cellStyle name="Normal" xfId="0" builtinId="0"/>
    <cellStyle name="Normal 2" xfId="4" xr:uid="{36DEE372-53CA-4515-B25A-7E4C5BA5DB82}"/>
    <cellStyle name="Normal 2 2" xfId="7" xr:uid="{F7BF8317-5F82-4B3D-B123-D46F13D20DE6}"/>
    <cellStyle name="Normal 3" xfId="5" xr:uid="{D553EF57-1FD0-4D44-97D2-5A0055AB5812}"/>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26A864-42B5-4B9E-9BC8-4D03B21D3DD4}">
  <dimension ref="A1:E8"/>
  <sheetViews>
    <sheetView workbookViewId="0">
      <selection activeCell="C7" sqref="C7"/>
    </sheetView>
  </sheetViews>
  <sheetFormatPr defaultRowHeight="14.4" x14ac:dyDescent="0.3"/>
  <cols>
    <col min="1" max="1" width="6.88671875" bestFit="1" customWidth="1"/>
    <col min="2" max="2" width="48.44140625" bestFit="1" customWidth="1"/>
    <col min="3" max="3" width="27.88671875" bestFit="1" customWidth="1"/>
    <col min="4" max="4" width="9" bestFit="1" customWidth="1"/>
    <col min="5" max="5" width="27.109375" bestFit="1" customWidth="1"/>
  </cols>
  <sheetData>
    <row r="1" spans="1:5" ht="16.2" thickBot="1" x14ac:dyDescent="0.35">
      <c r="A1" s="76" t="s">
        <v>142</v>
      </c>
      <c r="B1" s="77" t="s">
        <v>143</v>
      </c>
      <c r="C1" s="77" t="s">
        <v>144</v>
      </c>
      <c r="D1" s="77" t="s">
        <v>145</v>
      </c>
      <c r="E1" s="77" t="s">
        <v>146</v>
      </c>
    </row>
    <row r="2" spans="1:5" ht="16.8" thickTop="1" thickBot="1" x14ac:dyDescent="0.35">
      <c r="A2" s="78">
        <v>2</v>
      </c>
      <c r="B2" s="79" t="s">
        <v>147</v>
      </c>
      <c r="C2" s="327">
        <f>BOS_SR!F24</f>
        <v>9618090</v>
      </c>
      <c r="D2" s="80">
        <f>C2/$C$8</f>
        <v>1.8974141351450658E-3</v>
      </c>
      <c r="E2" s="445" t="s">
        <v>148</v>
      </c>
    </row>
    <row r="3" spans="1:5" ht="16.2" thickBot="1" x14ac:dyDescent="0.35">
      <c r="A3" s="81">
        <v>3</v>
      </c>
      <c r="B3" s="82" t="s">
        <v>149</v>
      </c>
      <c r="C3" s="328">
        <f>PITB_1!H28</f>
        <v>635655234</v>
      </c>
      <c r="D3" s="80">
        <f t="shared" ref="D3:D8" si="0">C3/$C$8</f>
        <v>0.12539924517971285</v>
      </c>
      <c r="E3" s="446"/>
    </row>
    <row r="4" spans="1:5" ht="16.2" thickBot="1" x14ac:dyDescent="0.35">
      <c r="A4" s="78">
        <v>4</v>
      </c>
      <c r="B4" s="79" t="s">
        <v>150</v>
      </c>
      <c r="C4" s="327">
        <f>'Urban Unit'!F22</f>
        <v>227626974</v>
      </c>
      <c r="D4" s="80">
        <f t="shared" si="0"/>
        <v>4.4905239814547207E-2</v>
      </c>
      <c r="E4" s="446"/>
    </row>
    <row r="5" spans="1:5" ht="16.2" thickBot="1" x14ac:dyDescent="0.35">
      <c r="A5" s="81">
        <v>5</v>
      </c>
      <c r="B5" s="82" t="s">
        <v>151</v>
      </c>
      <c r="C5" s="328">
        <f>PSPA!F34</f>
        <v>3314361973.3199997</v>
      </c>
      <c r="D5" s="80">
        <f t="shared" si="0"/>
        <v>0.65384262958286532</v>
      </c>
      <c r="E5" s="446"/>
    </row>
    <row r="6" spans="1:5" ht="16.2" thickBot="1" x14ac:dyDescent="0.35">
      <c r="A6" s="81">
        <v>6</v>
      </c>
      <c r="B6" s="82" t="s">
        <v>157</v>
      </c>
      <c r="C6" s="328">
        <f>'District Administration'!F5</f>
        <v>800000000</v>
      </c>
      <c r="D6" s="80">
        <f t="shared" si="0"/>
        <v>0.15782045168178427</v>
      </c>
      <c r="E6" s="446"/>
    </row>
    <row r="7" spans="1:5" ht="16.2" thickBot="1" x14ac:dyDescent="0.35">
      <c r="A7" s="81">
        <v>7</v>
      </c>
      <c r="B7" s="82" t="s">
        <v>313</v>
      </c>
      <c r="C7" s="328">
        <f>ISU!F22</f>
        <v>81789245.609200001</v>
      </c>
      <c r="D7" s="80">
        <f t="shared" si="0"/>
        <v>1.6135019605945419E-2</v>
      </c>
      <c r="E7" s="446"/>
    </row>
    <row r="8" spans="1:5" ht="16.2" thickBot="1" x14ac:dyDescent="0.35">
      <c r="A8" s="83"/>
      <c r="B8" s="79" t="s">
        <v>7</v>
      </c>
      <c r="C8" s="327">
        <f>SUM(C2:C7)</f>
        <v>5069051516.9291992</v>
      </c>
      <c r="D8" s="80">
        <f t="shared" si="0"/>
        <v>1</v>
      </c>
      <c r="E8" s="447"/>
    </row>
  </sheetData>
  <mergeCells count="1">
    <mergeCell ref="E2:E8"/>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3831B9-D9AB-4830-9752-E55908FCA004}">
  <dimension ref="A1:R90"/>
  <sheetViews>
    <sheetView topLeftCell="A28" zoomScale="70" zoomScaleNormal="70" workbookViewId="0">
      <selection activeCell="G4" sqref="G4"/>
    </sheetView>
  </sheetViews>
  <sheetFormatPr defaultRowHeight="14.4" x14ac:dyDescent="0.3"/>
  <cols>
    <col min="1" max="1" width="8.88671875" style="12"/>
    <col min="3" max="3" width="31.5546875" customWidth="1"/>
    <col min="5" max="6" width="12.21875" bestFit="1" customWidth="1"/>
    <col min="7" max="7" width="12.5546875" bestFit="1" customWidth="1"/>
    <col min="8" max="8" width="11.109375" bestFit="1" customWidth="1"/>
    <col min="9" max="9" width="11.33203125" bestFit="1" customWidth="1"/>
    <col min="10" max="10" width="11" bestFit="1" customWidth="1"/>
    <col min="11" max="11" width="13.33203125" bestFit="1" customWidth="1"/>
    <col min="12" max="12" width="11.21875" bestFit="1" customWidth="1"/>
    <col min="13" max="13" width="15.21875" customWidth="1"/>
    <col min="14" max="14" width="11.5546875" bestFit="1" customWidth="1"/>
    <col min="15" max="15" width="14.109375" customWidth="1"/>
    <col min="16" max="16" width="13.33203125" bestFit="1" customWidth="1"/>
    <col min="18" max="18" width="11.109375" bestFit="1" customWidth="1"/>
  </cols>
  <sheetData>
    <row r="1" spans="1:18" x14ac:dyDescent="0.3">
      <c r="A1" s="35"/>
      <c r="B1" s="36"/>
      <c r="C1" s="36"/>
      <c r="D1" s="36"/>
      <c r="E1" s="36"/>
      <c r="F1" s="36"/>
      <c r="G1" s="36"/>
      <c r="H1" s="36"/>
      <c r="I1" s="36"/>
      <c r="J1" s="36"/>
      <c r="K1" s="36"/>
      <c r="L1" s="36"/>
      <c r="M1" s="36"/>
      <c r="N1" s="36"/>
      <c r="O1" s="36"/>
      <c r="P1" s="36"/>
      <c r="Q1" s="36"/>
      <c r="R1" s="36"/>
    </row>
    <row r="2" spans="1:18" ht="19.95" customHeight="1" x14ac:dyDescent="0.3">
      <c r="A2" s="35"/>
      <c r="B2" s="37"/>
      <c r="C2" s="37"/>
      <c r="D2" s="497" t="s">
        <v>84</v>
      </c>
      <c r="E2" s="498"/>
      <c r="F2" s="498"/>
      <c r="G2" s="499"/>
      <c r="H2" s="497" t="s">
        <v>59</v>
      </c>
      <c r="I2" s="498"/>
      <c r="J2" s="498"/>
      <c r="K2" s="499"/>
      <c r="L2" s="497" t="s">
        <v>60</v>
      </c>
      <c r="M2" s="498"/>
      <c r="N2" s="498"/>
      <c r="O2" s="499"/>
      <c r="P2" s="56" t="s">
        <v>85</v>
      </c>
      <c r="Q2" s="36"/>
      <c r="R2" s="36"/>
    </row>
    <row r="3" spans="1:18" ht="19.95" customHeight="1" x14ac:dyDescent="0.3">
      <c r="A3" s="35"/>
      <c r="B3" s="38" t="s">
        <v>1</v>
      </c>
      <c r="C3" s="38" t="s">
        <v>86</v>
      </c>
      <c r="D3" s="38" t="s">
        <v>87</v>
      </c>
      <c r="E3" s="38" t="s">
        <v>88</v>
      </c>
      <c r="F3" s="38" t="s">
        <v>61</v>
      </c>
      <c r="G3" s="38" t="s">
        <v>89</v>
      </c>
      <c r="H3" s="38" t="s">
        <v>87</v>
      </c>
      <c r="I3" s="38" t="s">
        <v>88</v>
      </c>
      <c r="J3" s="38" t="s">
        <v>61</v>
      </c>
      <c r="K3" s="38" t="s">
        <v>90</v>
      </c>
      <c r="L3" s="38" t="s">
        <v>87</v>
      </c>
      <c r="M3" s="38" t="s">
        <v>88</v>
      </c>
      <c r="N3" s="38" t="s">
        <v>61</v>
      </c>
      <c r="O3" s="38" t="s">
        <v>91</v>
      </c>
      <c r="P3" s="39" t="s">
        <v>7</v>
      </c>
      <c r="Q3" s="36"/>
      <c r="R3" s="36"/>
    </row>
    <row r="4" spans="1:18" ht="19.95" customHeight="1" x14ac:dyDescent="0.3">
      <c r="A4" s="35"/>
      <c r="B4" s="40">
        <v>1</v>
      </c>
      <c r="C4" s="41" t="s">
        <v>92</v>
      </c>
      <c r="D4" s="42" t="s">
        <v>93</v>
      </c>
      <c r="E4" s="43"/>
      <c r="F4" s="43"/>
      <c r="G4" s="44">
        <v>0</v>
      </c>
      <c r="H4" s="42" t="s">
        <v>93</v>
      </c>
      <c r="I4" s="43"/>
      <c r="J4" s="43"/>
      <c r="K4" s="44">
        <v>300000</v>
      </c>
      <c r="L4" s="42" t="s">
        <v>93</v>
      </c>
      <c r="M4" s="43"/>
      <c r="N4" s="43"/>
      <c r="O4" s="44">
        <v>300000</v>
      </c>
      <c r="P4" s="45">
        <f t="shared" ref="P4:P17" si="0">O4+K4+G4</f>
        <v>600000</v>
      </c>
      <c r="Q4" s="36"/>
      <c r="R4" s="46"/>
    </row>
    <row r="5" spans="1:18" ht="19.95" customHeight="1" x14ac:dyDescent="0.3">
      <c r="A5" s="35"/>
      <c r="B5" s="40">
        <v>2</v>
      </c>
      <c r="C5" s="41" t="s">
        <v>29</v>
      </c>
      <c r="D5" s="42" t="s">
        <v>93</v>
      </c>
      <c r="E5" s="47"/>
      <c r="F5" s="48"/>
      <c r="G5" s="45">
        <v>400000</v>
      </c>
      <c r="H5" s="42" t="s">
        <v>93</v>
      </c>
      <c r="I5" s="47"/>
      <c r="J5" s="48"/>
      <c r="K5" s="45">
        <v>1000000</v>
      </c>
      <c r="L5" s="42" t="s">
        <v>93</v>
      </c>
      <c r="M5" s="47"/>
      <c r="N5" s="48"/>
      <c r="O5" s="45">
        <v>800000</v>
      </c>
      <c r="P5" s="45">
        <f t="shared" si="0"/>
        <v>2200000</v>
      </c>
      <c r="Q5" s="36"/>
      <c r="R5" s="36"/>
    </row>
    <row r="6" spans="1:18" ht="19.95" customHeight="1" x14ac:dyDescent="0.3">
      <c r="A6" s="35"/>
      <c r="B6" s="40">
        <v>3</v>
      </c>
      <c r="C6" s="41" t="s">
        <v>94</v>
      </c>
      <c r="D6" s="42" t="s">
        <v>93</v>
      </c>
      <c r="E6" s="47"/>
      <c r="F6" s="48"/>
      <c r="G6" s="45">
        <v>500000</v>
      </c>
      <c r="H6" s="42" t="s">
        <v>93</v>
      </c>
      <c r="I6" s="47"/>
      <c r="J6" s="48"/>
      <c r="K6" s="45">
        <v>1000000</v>
      </c>
      <c r="L6" s="42" t="s">
        <v>93</v>
      </c>
      <c r="M6" s="47"/>
      <c r="N6" s="48"/>
      <c r="O6" s="45">
        <v>1000000</v>
      </c>
      <c r="P6" s="27">
        <f t="shared" si="0"/>
        <v>2500000</v>
      </c>
      <c r="Q6" s="36"/>
      <c r="R6" s="36"/>
    </row>
    <row r="7" spans="1:18" ht="19.95" customHeight="1" x14ac:dyDescent="0.3">
      <c r="A7" s="35"/>
      <c r="B7" s="40">
        <v>4</v>
      </c>
      <c r="C7" s="41" t="s">
        <v>95</v>
      </c>
      <c r="D7" s="42" t="s">
        <v>93</v>
      </c>
      <c r="E7" s="47"/>
      <c r="F7" s="48"/>
      <c r="G7" s="45">
        <v>1000000</v>
      </c>
      <c r="H7" s="42" t="s">
        <v>93</v>
      </c>
      <c r="I7" s="47"/>
      <c r="J7" s="48"/>
      <c r="K7" s="45">
        <v>1000000</v>
      </c>
      <c r="L7" s="42" t="s">
        <v>93</v>
      </c>
      <c r="M7" s="47"/>
      <c r="N7" s="48"/>
      <c r="O7" s="45">
        <v>500000</v>
      </c>
      <c r="P7" s="45">
        <f t="shared" si="0"/>
        <v>2500000</v>
      </c>
      <c r="Q7" s="36"/>
      <c r="R7" s="36"/>
    </row>
    <row r="8" spans="1:18" ht="19.95" customHeight="1" x14ac:dyDescent="0.3">
      <c r="A8" s="35"/>
      <c r="B8" s="40">
        <v>5</v>
      </c>
      <c r="C8" s="41" t="s">
        <v>96</v>
      </c>
      <c r="D8" s="42" t="s">
        <v>93</v>
      </c>
      <c r="E8" s="47"/>
      <c r="F8" s="48"/>
      <c r="G8" s="44">
        <v>300000</v>
      </c>
      <c r="H8" s="42" t="s">
        <v>93</v>
      </c>
      <c r="I8" s="49"/>
      <c r="J8" s="50"/>
      <c r="K8" s="44">
        <v>2000000</v>
      </c>
      <c r="L8" s="42" t="s">
        <v>93</v>
      </c>
      <c r="M8" s="49"/>
      <c r="N8" s="50"/>
      <c r="O8" s="44">
        <v>1000000</v>
      </c>
      <c r="P8" s="45">
        <f t="shared" si="0"/>
        <v>3300000</v>
      </c>
      <c r="Q8" s="36"/>
      <c r="R8" s="36"/>
    </row>
    <row r="9" spans="1:18" ht="19.95" customHeight="1" x14ac:dyDescent="0.3">
      <c r="A9" s="35"/>
      <c r="B9" s="40">
        <v>6</v>
      </c>
      <c r="C9" s="41" t="s">
        <v>37</v>
      </c>
      <c r="D9" s="42" t="s">
        <v>93</v>
      </c>
      <c r="E9" s="51"/>
      <c r="F9" s="52"/>
      <c r="G9" s="45">
        <v>50000</v>
      </c>
      <c r="H9" s="42" t="s">
        <v>93</v>
      </c>
      <c r="I9" s="51"/>
      <c r="J9" s="52"/>
      <c r="K9" s="45">
        <v>500000</v>
      </c>
      <c r="L9" s="42" t="s">
        <v>93</v>
      </c>
      <c r="M9" s="51"/>
      <c r="N9" s="52"/>
      <c r="O9" s="45">
        <v>500000</v>
      </c>
      <c r="P9" s="45">
        <f t="shared" si="0"/>
        <v>1050000</v>
      </c>
      <c r="Q9" s="36"/>
      <c r="R9" s="36"/>
    </row>
    <row r="10" spans="1:18" ht="19.95" customHeight="1" x14ac:dyDescent="0.3">
      <c r="A10" s="35"/>
      <c r="B10" s="40">
        <v>7</v>
      </c>
      <c r="C10" s="53" t="s">
        <v>52</v>
      </c>
      <c r="D10" s="42" t="s">
        <v>93</v>
      </c>
      <c r="E10" s="54"/>
      <c r="F10" s="51"/>
      <c r="G10" s="45">
        <v>200000</v>
      </c>
      <c r="H10" s="42" t="s">
        <v>93</v>
      </c>
      <c r="I10" s="54"/>
      <c r="J10" s="51"/>
      <c r="K10" s="45">
        <v>1000000</v>
      </c>
      <c r="L10" s="42" t="s">
        <v>93</v>
      </c>
      <c r="M10" s="54"/>
      <c r="N10" s="51"/>
      <c r="O10" s="45">
        <v>500000</v>
      </c>
      <c r="P10" s="45">
        <f t="shared" si="0"/>
        <v>1700000</v>
      </c>
      <c r="Q10" s="36"/>
      <c r="R10" s="36"/>
    </row>
    <row r="11" spans="1:18" ht="19.95" customHeight="1" x14ac:dyDescent="0.3">
      <c r="A11" s="35"/>
      <c r="B11" s="40">
        <v>8</v>
      </c>
      <c r="C11" s="53" t="s">
        <v>97</v>
      </c>
      <c r="D11" s="42" t="s">
        <v>93</v>
      </c>
      <c r="E11" s="54"/>
      <c r="F11" s="51"/>
      <c r="G11" s="45">
        <v>50000</v>
      </c>
      <c r="H11" s="42" t="s">
        <v>93</v>
      </c>
      <c r="I11" s="54"/>
      <c r="J11" s="51"/>
      <c r="K11" s="45">
        <v>200000</v>
      </c>
      <c r="L11" s="42" t="s">
        <v>93</v>
      </c>
      <c r="M11" s="54"/>
      <c r="N11" s="51"/>
      <c r="O11" s="45">
        <v>200000</v>
      </c>
      <c r="P11" s="45">
        <f t="shared" si="0"/>
        <v>450000</v>
      </c>
      <c r="Q11" s="36"/>
      <c r="R11" s="36"/>
    </row>
    <row r="12" spans="1:18" ht="19.95" customHeight="1" x14ac:dyDescent="0.3">
      <c r="A12" s="35"/>
      <c r="B12" s="40">
        <v>9</v>
      </c>
      <c r="C12" s="53" t="s">
        <v>98</v>
      </c>
      <c r="D12" s="42" t="s">
        <v>93</v>
      </c>
      <c r="E12" s="54"/>
      <c r="F12" s="51"/>
      <c r="G12" s="45">
        <v>5000</v>
      </c>
      <c r="H12" s="42" t="s">
        <v>93</v>
      </c>
      <c r="I12" s="54"/>
      <c r="J12" s="51"/>
      <c r="K12" s="45">
        <v>25000</v>
      </c>
      <c r="L12" s="42" t="s">
        <v>93</v>
      </c>
      <c r="M12" s="54"/>
      <c r="N12" s="51"/>
      <c r="O12" s="45">
        <v>20000</v>
      </c>
      <c r="P12" s="45">
        <f t="shared" si="0"/>
        <v>50000</v>
      </c>
      <c r="Q12" s="36"/>
      <c r="R12" s="36"/>
    </row>
    <row r="13" spans="1:18" ht="19.95" customHeight="1" x14ac:dyDescent="0.3">
      <c r="A13" s="35"/>
      <c r="B13" s="40">
        <v>10</v>
      </c>
      <c r="C13" s="53" t="s">
        <v>99</v>
      </c>
      <c r="D13" s="42" t="s">
        <v>93</v>
      </c>
      <c r="E13" s="54"/>
      <c r="F13" s="51"/>
      <c r="G13" s="45">
        <v>25000</v>
      </c>
      <c r="H13" s="42" t="s">
        <v>93</v>
      </c>
      <c r="I13" s="54"/>
      <c r="J13" s="51"/>
      <c r="K13" s="45">
        <v>100000</v>
      </c>
      <c r="L13" s="42" t="s">
        <v>93</v>
      </c>
      <c r="M13" s="54"/>
      <c r="N13" s="51"/>
      <c r="O13" s="45">
        <v>100000</v>
      </c>
      <c r="P13" s="45">
        <f t="shared" si="0"/>
        <v>225000</v>
      </c>
      <c r="Q13" s="36"/>
      <c r="R13" s="36"/>
    </row>
    <row r="14" spans="1:18" ht="19.95" customHeight="1" x14ac:dyDescent="0.3">
      <c r="A14" s="35"/>
      <c r="B14" s="40">
        <v>11</v>
      </c>
      <c r="C14" s="53" t="s">
        <v>100</v>
      </c>
      <c r="D14" s="42" t="s">
        <v>93</v>
      </c>
      <c r="E14" s="54"/>
      <c r="F14" s="51"/>
      <c r="G14" s="45">
        <v>25000</v>
      </c>
      <c r="H14" s="42" t="s">
        <v>93</v>
      </c>
      <c r="I14" s="54"/>
      <c r="J14" s="51"/>
      <c r="K14" s="45">
        <v>100000</v>
      </c>
      <c r="L14" s="42" t="s">
        <v>93</v>
      </c>
      <c r="M14" s="54"/>
      <c r="N14" s="51"/>
      <c r="O14" s="45">
        <v>100000</v>
      </c>
      <c r="P14" s="45">
        <f t="shared" si="0"/>
        <v>225000</v>
      </c>
      <c r="Q14" s="36"/>
      <c r="R14" s="36"/>
    </row>
    <row r="15" spans="1:18" ht="19.95" customHeight="1" x14ac:dyDescent="0.3">
      <c r="A15" s="35"/>
      <c r="B15" s="40">
        <v>12</v>
      </c>
      <c r="C15" s="55" t="s">
        <v>45</v>
      </c>
      <c r="D15" s="42" t="s">
        <v>93</v>
      </c>
      <c r="E15" s="51"/>
      <c r="F15" s="51"/>
      <c r="G15" s="45">
        <v>50000</v>
      </c>
      <c r="H15" s="42" t="s">
        <v>93</v>
      </c>
      <c r="I15" s="51"/>
      <c r="J15" s="51"/>
      <c r="K15" s="45">
        <v>300000</v>
      </c>
      <c r="L15" s="42" t="s">
        <v>93</v>
      </c>
      <c r="M15" s="51"/>
      <c r="N15" s="51"/>
      <c r="O15" s="45">
        <v>300000</v>
      </c>
      <c r="P15" s="45">
        <f t="shared" si="0"/>
        <v>650000</v>
      </c>
      <c r="Q15" s="36"/>
      <c r="R15" s="36"/>
    </row>
    <row r="16" spans="1:18" ht="19.95" customHeight="1" x14ac:dyDescent="0.3">
      <c r="A16" s="35"/>
      <c r="B16" s="40">
        <v>13</v>
      </c>
      <c r="C16" s="55" t="s">
        <v>101</v>
      </c>
      <c r="D16" s="42">
        <v>10</v>
      </c>
      <c r="E16" s="51">
        <v>2000</v>
      </c>
      <c r="F16" s="51">
        <v>2</v>
      </c>
      <c r="G16" s="45">
        <f>D16*E16*F16</f>
        <v>40000</v>
      </c>
      <c r="H16" s="42">
        <v>10</v>
      </c>
      <c r="I16" s="51">
        <v>2000</v>
      </c>
      <c r="J16" s="51">
        <v>12</v>
      </c>
      <c r="K16" s="45">
        <f>H16*I16*J16</f>
        <v>240000</v>
      </c>
      <c r="L16" s="42">
        <v>10</v>
      </c>
      <c r="M16" s="51">
        <v>2000</v>
      </c>
      <c r="N16" s="51">
        <v>12</v>
      </c>
      <c r="O16" s="45">
        <f>L16*M16*N16</f>
        <v>240000</v>
      </c>
      <c r="P16" s="45">
        <f t="shared" si="0"/>
        <v>520000</v>
      </c>
      <c r="Q16" s="36"/>
      <c r="R16" s="36"/>
    </row>
    <row r="17" spans="1:18" ht="19.95" customHeight="1" x14ac:dyDescent="0.3">
      <c r="A17" s="35"/>
      <c r="B17" s="40">
        <v>14</v>
      </c>
      <c r="C17" s="55" t="s">
        <v>50</v>
      </c>
      <c r="D17" s="42" t="s">
        <v>93</v>
      </c>
      <c r="E17" s="51">
        <v>30000</v>
      </c>
      <c r="F17" s="51">
        <v>2</v>
      </c>
      <c r="G17" s="45">
        <f>E17*F17</f>
        <v>60000</v>
      </c>
      <c r="H17" s="42" t="s">
        <v>93</v>
      </c>
      <c r="I17" s="51">
        <v>30000</v>
      </c>
      <c r="J17" s="51">
        <v>12</v>
      </c>
      <c r="K17" s="45">
        <f>I17*J17</f>
        <v>360000</v>
      </c>
      <c r="L17" s="42" t="s">
        <v>93</v>
      </c>
      <c r="M17" s="51">
        <v>30000</v>
      </c>
      <c r="N17" s="51">
        <v>12</v>
      </c>
      <c r="O17" s="45">
        <f>M17*N17</f>
        <v>360000</v>
      </c>
      <c r="P17" s="45">
        <f t="shared" si="0"/>
        <v>780000</v>
      </c>
      <c r="Q17" s="36"/>
      <c r="R17" s="36"/>
    </row>
    <row r="21" spans="1:18" x14ac:dyDescent="0.3">
      <c r="B21" s="492" t="s">
        <v>21</v>
      </c>
      <c r="C21" s="492"/>
      <c r="D21" s="492"/>
      <c r="E21" s="492"/>
      <c r="F21" s="492"/>
      <c r="G21" s="492"/>
      <c r="H21" s="492"/>
      <c r="I21" s="492"/>
      <c r="J21" s="492"/>
      <c r="K21" s="492"/>
      <c r="L21" s="492"/>
      <c r="M21" s="492"/>
    </row>
    <row r="22" spans="1:18" x14ac:dyDescent="0.3">
      <c r="B22" s="19"/>
      <c r="C22" s="19"/>
      <c r="D22" s="496" t="s">
        <v>102</v>
      </c>
      <c r="E22" s="496"/>
      <c r="F22" s="496"/>
      <c r="G22" s="496" t="s">
        <v>59</v>
      </c>
      <c r="H22" s="496"/>
      <c r="I22" s="496"/>
      <c r="J22" s="496" t="s">
        <v>103</v>
      </c>
      <c r="K22" s="496"/>
      <c r="L22" s="496"/>
      <c r="M22" s="500" t="s">
        <v>85</v>
      </c>
    </row>
    <row r="23" spans="1:18" x14ac:dyDescent="0.3">
      <c r="B23" s="19" t="s">
        <v>1</v>
      </c>
      <c r="C23" s="19" t="s">
        <v>86</v>
      </c>
      <c r="D23" s="19" t="s">
        <v>87</v>
      </c>
      <c r="E23" s="19" t="s">
        <v>88</v>
      </c>
      <c r="F23" s="19" t="s">
        <v>89</v>
      </c>
      <c r="G23" s="19" t="s">
        <v>87</v>
      </c>
      <c r="H23" s="19" t="s">
        <v>88</v>
      </c>
      <c r="I23" s="19" t="s">
        <v>90</v>
      </c>
      <c r="J23" s="19" t="s">
        <v>87</v>
      </c>
      <c r="K23" s="19" t="s">
        <v>88</v>
      </c>
      <c r="L23" s="19" t="s">
        <v>91</v>
      </c>
      <c r="M23" s="501"/>
    </row>
    <row r="24" spans="1:18" x14ac:dyDescent="0.3">
      <c r="B24" s="22">
        <v>1</v>
      </c>
      <c r="C24" s="57" t="s">
        <v>104</v>
      </c>
      <c r="D24" s="58">
        <v>3</v>
      </c>
      <c r="E24" s="59">
        <v>100000</v>
      </c>
      <c r="F24" s="27">
        <f>E24*D24</f>
        <v>300000</v>
      </c>
      <c r="G24" s="58"/>
      <c r="H24" s="59"/>
      <c r="I24" s="27">
        <f>H24*G24</f>
        <v>0</v>
      </c>
      <c r="J24" s="58"/>
      <c r="K24" s="59"/>
      <c r="L24" s="27"/>
      <c r="M24" s="27">
        <f>F24+I24+L24</f>
        <v>300000</v>
      </c>
    </row>
    <row r="25" spans="1:18" x14ac:dyDescent="0.3">
      <c r="B25" s="22">
        <v>2</v>
      </c>
      <c r="C25" s="57" t="s">
        <v>105</v>
      </c>
      <c r="D25" s="58">
        <v>2</v>
      </c>
      <c r="E25" s="59">
        <v>80000</v>
      </c>
      <c r="F25" s="27">
        <f>E25*D25</f>
        <v>160000</v>
      </c>
      <c r="G25" s="58"/>
      <c r="H25" s="59"/>
      <c r="I25" s="27">
        <f>H25*G25</f>
        <v>0</v>
      </c>
      <c r="J25" s="58"/>
      <c r="K25" s="59"/>
      <c r="L25" s="27"/>
      <c r="M25" s="27">
        <f>F25+I25+L25</f>
        <v>160000</v>
      </c>
    </row>
    <row r="26" spans="1:18" x14ac:dyDescent="0.3">
      <c r="B26" s="22">
        <v>3</v>
      </c>
      <c r="C26" s="57" t="s">
        <v>106</v>
      </c>
      <c r="D26" s="58">
        <v>20</v>
      </c>
      <c r="E26" s="59">
        <v>70000</v>
      </c>
      <c r="F26" s="27">
        <f>E26*D26</f>
        <v>1400000</v>
      </c>
      <c r="G26" s="58"/>
      <c r="H26" s="59"/>
      <c r="I26" s="27">
        <f>H26*G26</f>
        <v>0</v>
      </c>
      <c r="J26" s="58"/>
      <c r="K26" s="59"/>
      <c r="L26" s="27"/>
      <c r="M26" s="27">
        <f>L26+I26+F26</f>
        <v>1400000</v>
      </c>
    </row>
    <row r="27" spans="1:18" x14ac:dyDescent="0.3">
      <c r="B27" s="22">
        <v>4</v>
      </c>
      <c r="C27" s="57" t="s">
        <v>107</v>
      </c>
      <c r="D27" s="58">
        <v>20</v>
      </c>
      <c r="E27" s="59">
        <v>20000</v>
      </c>
      <c r="F27" s="27">
        <f>E27*D27</f>
        <v>400000</v>
      </c>
      <c r="G27" s="58"/>
      <c r="H27" s="59"/>
      <c r="I27" s="27">
        <f>H27*G27</f>
        <v>0</v>
      </c>
      <c r="J27" s="58"/>
      <c r="K27" s="59"/>
      <c r="L27" s="27"/>
      <c r="M27" s="27">
        <f>L27+I27+F27</f>
        <v>400000</v>
      </c>
    </row>
    <row r="28" spans="1:18" x14ac:dyDescent="0.3">
      <c r="B28" s="496" t="s">
        <v>7</v>
      </c>
      <c r="C28" s="496"/>
      <c r="D28" s="60"/>
      <c r="E28" s="21"/>
      <c r="F28" s="32">
        <f>SUM(F24:F27)</f>
        <v>2260000</v>
      </c>
      <c r="G28" s="60"/>
      <c r="H28" s="21"/>
      <c r="I28" s="32">
        <f>SUM(I24,I27,I25,I26)</f>
        <v>0</v>
      </c>
      <c r="J28" s="60"/>
      <c r="K28" s="21"/>
      <c r="L28" s="31"/>
      <c r="M28" s="32">
        <f>SUM(M24:M27)</f>
        <v>2260000</v>
      </c>
    </row>
    <row r="31" spans="1:18" x14ac:dyDescent="0.3">
      <c r="B31" s="502" t="s">
        <v>23</v>
      </c>
      <c r="C31" s="502"/>
      <c r="D31" s="502"/>
      <c r="E31" s="502"/>
      <c r="F31" s="502"/>
      <c r="G31" s="502"/>
      <c r="H31" s="502"/>
      <c r="I31" s="502"/>
      <c r="J31" s="502"/>
      <c r="K31" s="502"/>
      <c r="L31" s="502"/>
      <c r="M31" s="502"/>
      <c r="N31" s="502"/>
    </row>
    <row r="32" spans="1:18" x14ac:dyDescent="0.3">
      <c r="B32" s="37"/>
      <c r="C32" s="37"/>
      <c r="D32" s="61"/>
      <c r="E32" s="496" t="s">
        <v>58</v>
      </c>
      <c r="F32" s="496"/>
      <c r="G32" s="496"/>
      <c r="H32" s="496" t="s">
        <v>59</v>
      </c>
      <c r="I32" s="496"/>
      <c r="J32" s="496"/>
      <c r="K32" s="496" t="s">
        <v>60</v>
      </c>
      <c r="L32" s="496"/>
      <c r="M32" s="496"/>
      <c r="N32" s="503" t="s">
        <v>85</v>
      </c>
    </row>
    <row r="33" spans="2:16" x14ac:dyDescent="0.3">
      <c r="B33" s="38" t="s">
        <v>1</v>
      </c>
      <c r="C33" s="38" t="s">
        <v>86</v>
      </c>
      <c r="D33" s="38" t="s">
        <v>87</v>
      </c>
      <c r="E33" s="38" t="s">
        <v>88</v>
      </c>
      <c r="F33" s="38" t="s">
        <v>61</v>
      </c>
      <c r="G33" s="38" t="s">
        <v>89</v>
      </c>
      <c r="H33" s="38" t="s">
        <v>88</v>
      </c>
      <c r="I33" s="38" t="s">
        <v>108</v>
      </c>
      <c r="J33" s="38" t="s">
        <v>90</v>
      </c>
      <c r="K33" s="38" t="s">
        <v>88</v>
      </c>
      <c r="L33" s="38" t="s">
        <v>61</v>
      </c>
      <c r="M33" s="38" t="s">
        <v>91</v>
      </c>
      <c r="N33" s="504"/>
    </row>
    <row r="34" spans="2:16" x14ac:dyDescent="0.3">
      <c r="B34" s="40">
        <v>1</v>
      </c>
      <c r="C34" s="62" t="s">
        <v>109</v>
      </c>
      <c r="D34" s="58">
        <v>1</v>
      </c>
      <c r="E34" s="63">
        <v>230000</v>
      </c>
      <c r="F34" s="52">
        <v>2</v>
      </c>
      <c r="G34" s="44">
        <f>E34*D34*F34</f>
        <v>460000</v>
      </c>
      <c r="H34" s="63">
        <v>250000</v>
      </c>
      <c r="I34" s="52">
        <v>12</v>
      </c>
      <c r="J34" s="44">
        <f>D34*H34*I34</f>
        <v>3000000</v>
      </c>
      <c r="K34" s="63">
        <v>250000</v>
      </c>
      <c r="L34" s="52">
        <v>12</v>
      </c>
      <c r="M34" s="44">
        <f>D34*K34*L34</f>
        <v>3000000</v>
      </c>
      <c r="N34" s="45">
        <f>M34+J34+G34</f>
        <v>6460000</v>
      </c>
    </row>
    <row r="35" spans="2:16" x14ac:dyDescent="0.3">
      <c r="B35" s="496" t="s">
        <v>7</v>
      </c>
      <c r="C35" s="496"/>
      <c r="D35" s="60">
        <f>SUM(D34:D34)</f>
        <v>1</v>
      </c>
      <c r="E35" s="64"/>
      <c r="F35" s="64"/>
      <c r="G35" s="32">
        <f>SUM(G34:G34)</f>
        <v>460000</v>
      </c>
      <c r="H35" s="64"/>
      <c r="I35" s="64"/>
      <c r="J35" s="32">
        <f>SUM(J34:J34)</f>
        <v>3000000</v>
      </c>
      <c r="K35" s="64"/>
      <c r="L35" s="64"/>
      <c r="M35" s="32">
        <f>SUM(M34:M34)</f>
        <v>3000000</v>
      </c>
      <c r="N35" s="32">
        <f>SUM(N34:N34)</f>
        <v>6460000</v>
      </c>
    </row>
    <row r="36" spans="2:16" x14ac:dyDescent="0.3">
      <c r="G36" t="s">
        <v>110</v>
      </c>
    </row>
    <row r="38" spans="2:16" x14ac:dyDescent="0.3">
      <c r="B38" s="492" t="s">
        <v>25</v>
      </c>
      <c r="C38" s="492"/>
      <c r="D38" s="492"/>
      <c r="E38" s="492"/>
      <c r="F38" s="492"/>
      <c r="G38" s="492"/>
      <c r="H38" s="492"/>
      <c r="I38" s="492"/>
      <c r="J38" s="492"/>
      <c r="K38" s="492"/>
      <c r="L38" s="492"/>
      <c r="M38" s="492"/>
      <c r="N38" s="492"/>
      <c r="O38" s="492"/>
      <c r="P38" s="492"/>
    </row>
    <row r="39" spans="2:16" x14ac:dyDescent="0.3">
      <c r="B39" s="19"/>
      <c r="C39" s="19"/>
      <c r="D39" s="65"/>
      <c r="E39" s="496" t="s">
        <v>58</v>
      </c>
      <c r="F39" s="496"/>
      <c r="G39" s="496"/>
      <c r="H39" s="505" t="s">
        <v>59</v>
      </c>
      <c r="I39" s="506"/>
      <c r="J39" s="506"/>
      <c r="K39" s="507"/>
      <c r="L39" s="505" t="s">
        <v>60</v>
      </c>
      <c r="M39" s="506"/>
      <c r="N39" s="506"/>
      <c r="O39" s="507"/>
      <c r="P39" s="500" t="s">
        <v>85</v>
      </c>
    </row>
    <row r="40" spans="2:16" x14ac:dyDescent="0.3">
      <c r="B40" s="19" t="s">
        <v>1</v>
      </c>
      <c r="C40" s="19" t="s">
        <v>86</v>
      </c>
      <c r="D40" s="19" t="s">
        <v>87</v>
      </c>
      <c r="E40" s="19" t="s">
        <v>88</v>
      </c>
      <c r="F40" s="19" t="s">
        <v>61</v>
      </c>
      <c r="G40" s="19" t="s">
        <v>89</v>
      </c>
      <c r="H40" s="19" t="s">
        <v>87</v>
      </c>
      <c r="I40" s="19" t="s">
        <v>88</v>
      </c>
      <c r="J40" s="19" t="s">
        <v>108</v>
      </c>
      <c r="K40" s="19" t="s">
        <v>90</v>
      </c>
      <c r="L40" s="19" t="s">
        <v>87</v>
      </c>
      <c r="M40" s="19" t="s">
        <v>88</v>
      </c>
      <c r="N40" s="19" t="s">
        <v>61</v>
      </c>
      <c r="O40" s="19" t="s">
        <v>91</v>
      </c>
      <c r="P40" s="501"/>
    </row>
    <row r="41" spans="2:16" x14ac:dyDescent="0.3">
      <c r="B41" s="22">
        <v>1</v>
      </c>
      <c r="C41" s="57" t="s">
        <v>111</v>
      </c>
      <c r="D41" s="58">
        <v>3</v>
      </c>
      <c r="E41" s="66">
        <v>100000</v>
      </c>
      <c r="F41" s="66">
        <v>2</v>
      </c>
      <c r="G41" s="27">
        <f>E41*D41*F41</f>
        <v>600000</v>
      </c>
      <c r="H41" s="58">
        <v>3</v>
      </c>
      <c r="I41" s="66">
        <v>100000</v>
      </c>
      <c r="J41" s="66">
        <v>12</v>
      </c>
      <c r="K41" s="27">
        <f>H41*I41*J41</f>
        <v>3600000</v>
      </c>
      <c r="L41" s="58">
        <v>3</v>
      </c>
      <c r="M41" s="66">
        <v>100000</v>
      </c>
      <c r="N41" s="66">
        <v>12</v>
      </c>
      <c r="O41" s="27">
        <f>L41*M41*N41</f>
        <v>3600000</v>
      </c>
      <c r="P41" s="27">
        <f>O41+K41+G41</f>
        <v>7800000</v>
      </c>
    </row>
    <row r="42" spans="2:16" x14ac:dyDescent="0.3">
      <c r="B42" s="492" t="s">
        <v>7</v>
      </c>
      <c r="C42" s="492"/>
      <c r="D42" s="67">
        <f>SUM(D41:D41)</f>
        <v>3</v>
      </c>
      <c r="E42" s="68"/>
      <c r="F42" s="68"/>
      <c r="G42" s="69">
        <f>SUM(G41:G41)</f>
        <v>600000</v>
      </c>
      <c r="H42" s="69"/>
      <c r="I42" s="70"/>
      <c r="J42" s="70"/>
      <c r="K42" s="69">
        <f>SUM(K41:K41)</f>
        <v>3600000</v>
      </c>
      <c r="L42" s="69"/>
      <c r="M42" s="70"/>
      <c r="N42" s="70"/>
      <c r="O42" s="69">
        <f>SUM(O41:O41)</f>
        <v>3600000</v>
      </c>
      <c r="P42" s="69">
        <f>O42+K42+G42</f>
        <v>7800000</v>
      </c>
    </row>
    <row r="43" spans="2:16" x14ac:dyDescent="0.3">
      <c r="B43" s="12"/>
      <c r="C43" s="71" t="s">
        <v>112</v>
      </c>
      <c r="D43" s="12"/>
      <c r="E43" s="12"/>
      <c r="F43" s="12"/>
      <c r="G43" s="12"/>
      <c r="H43" s="12"/>
      <c r="I43" s="12"/>
      <c r="J43" s="12"/>
      <c r="K43" s="12"/>
      <c r="L43" s="12"/>
      <c r="M43" s="12"/>
      <c r="N43" s="12"/>
      <c r="O43" s="12"/>
      <c r="P43" s="72"/>
    </row>
    <row r="46" spans="2:16" x14ac:dyDescent="0.3">
      <c r="B46" s="502" t="s">
        <v>113</v>
      </c>
      <c r="C46" s="502"/>
      <c r="D46" s="502"/>
      <c r="E46" s="502"/>
      <c r="F46" s="502"/>
      <c r="G46" s="502"/>
      <c r="H46" s="502"/>
      <c r="I46" s="502"/>
      <c r="J46" s="502"/>
      <c r="K46" s="502"/>
      <c r="L46" s="502"/>
      <c r="M46" s="502"/>
      <c r="N46" s="502"/>
      <c r="O46" s="502"/>
      <c r="P46" s="502"/>
    </row>
    <row r="47" spans="2:16" x14ac:dyDescent="0.3">
      <c r="B47" s="37"/>
      <c r="C47" s="37"/>
      <c r="D47" s="502" t="s">
        <v>114</v>
      </c>
      <c r="E47" s="502"/>
      <c r="F47" s="502"/>
      <c r="G47" s="502"/>
      <c r="H47" s="502" t="s">
        <v>59</v>
      </c>
      <c r="I47" s="502"/>
      <c r="J47" s="502"/>
      <c r="K47" s="502"/>
      <c r="L47" s="502" t="s">
        <v>60</v>
      </c>
      <c r="M47" s="502"/>
      <c r="N47" s="502"/>
      <c r="O47" s="502"/>
      <c r="P47" s="503" t="s">
        <v>85</v>
      </c>
    </row>
    <row r="48" spans="2:16" x14ac:dyDescent="0.3">
      <c r="B48" s="38" t="s">
        <v>1</v>
      </c>
      <c r="C48" s="38" t="s">
        <v>86</v>
      </c>
      <c r="D48" s="38" t="s">
        <v>87</v>
      </c>
      <c r="E48" s="38" t="s">
        <v>88</v>
      </c>
      <c r="F48" s="38" t="s">
        <v>61</v>
      </c>
      <c r="G48" s="38" t="s">
        <v>89</v>
      </c>
      <c r="H48" s="38" t="s">
        <v>87</v>
      </c>
      <c r="I48" s="38" t="s">
        <v>88</v>
      </c>
      <c r="J48" s="38" t="s">
        <v>61</v>
      </c>
      <c r="K48" s="38" t="s">
        <v>90</v>
      </c>
      <c r="L48" s="38" t="s">
        <v>87</v>
      </c>
      <c r="M48" s="38" t="s">
        <v>88</v>
      </c>
      <c r="N48" s="38" t="s">
        <v>61</v>
      </c>
      <c r="O48" s="38" t="s">
        <v>91</v>
      </c>
      <c r="P48" s="504"/>
    </row>
    <row r="49" spans="2:16" x14ac:dyDescent="0.3">
      <c r="B49" s="40">
        <v>1</v>
      </c>
      <c r="C49" s="62" t="s">
        <v>115</v>
      </c>
      <c r="D49" s="43">
        <v>0</v>
      </c>
      <c r="E49" s="73">
        <v>2.5</v>
      </c>
      <c r="F49" s="51">
        <v>0</v>
      </c>
      <c r="G49" s="45">
        <v>10000000</v>
      </c>
      <c r="H49" s="51">
        <v>0</v>
      </c>
      <c r="I49" s="73">
        <f>E49</f>
        <v>2.5</v>
      </c>
      <c r="J49" s="51">
        <v>0</v>
      </c>
      <c r="K49" s="45">
        <v>40000000</v>
      </c>
      <c r="L49" s="51">
        <v>0</v>
      </c>
      <c r="M49" s="73">
        <f>E49</f>
        <v>2.5</v>
      </c>
      <c r="N49" s="51">
        <v>0</v>
      </c>
      <c r="O49" s="45">
        <v>10000000</v>
      </c>
      <c r="P49" s="45">
        <f>O49+K49+G49</f>
        <v>60000000</v>
      </c>
    </row>
    <row r="50" spans="2:16" x14ac:dyDescent="0.3">
      <c r="B50" s="40">
        <v>2</v>
      </c>
      <c r="C50" s="62" t="s">
        <v>116</v>
      </c>
      <c r="D50" s="51">
        <v>0</v>
      </c>
      <c r="E50" s="51">
        <v>0</v>
      </c>
      <c r="F50" s="51">
        <v>0</v>
      </c>
      <c r="G50" s="45">
        <v>12000000</v>
      </c>
      <c r="H50" s="51">
        <v>0</v>
      </c>
      <c r="I50" s="51">
        <v>0</v>
      </c>
      <c r="J50" s="51">
        <v>0</v>
      </c>
      <c r="K50" s="45">
        <v>50000000</v>
      </c>
      <c r="L50" s="51">
        <v>0</v>
      </c>
      <c r="M50" s="51">
        <v>0</v>
      </c>
      <c r="N50" s="51">
        <v>0</v>
      </c>
      <c r="O50" s="45">
        <v>10000000</v>
      </c>
      <c r="P50" s="45">
        <f>O50+K50+G50</f>
        <v>72000000</v>
      </c>
    </row>
    <row r="51" spans="2:16" x14ac:dyDescent="0.3">
      <c r="B51" s="40">
        <v>3</v>
      </c>
      <c r="C51" s="62" t="s">
        <v>117</v>
      </c>
      <c r="D51" s="42">
        <v>24</v>
      </c>
      <c r="E51" s="54">
        <v>68000</v>
      </c>
      <c r="F51" s="42">
        <v>7</v>
      </c>
      <c r="G51" s="45">
        <f>E51*D51*F51</f>
        <v>11424000</v>
      </c>
      <c r="H51" s="42">
        <v>48</v>
      </c>
      <c r="I51" s="54">
        <f>E51</f>
        <v>68000</v>
      </c>
      <c r="J51" s="42">
        <v>12</v>
      </c>
      <c r="K51" s="45">
        <f>I51*H51*J51</f>
        <v>39168000</v>
      </c>
      <c r="L51" s="42">
        <v>36</v>
      </c>
      <c r="M51" s="54">
        <f>E51</f>
        <v>68000</v>
      </c>
      <c r="N51" s="42">
        <v>12</v>
      </c>
      <c r="O51" s="45">
        <f>M51*L51*N51</f>
        <v>29376000</v>
      </c>
      <c r="P51" s="45">
        <f>O51+K51+G51</f>
        <v>79968000</v>
      </c>
    </row>
    <row r="52" spans="2:16" x14ac:dyDescent="0.3">
      <c r="B52" s="40">
        <v>4</v>
      </c>
      <c r="C52" s="62" t="s">
        <v>118</v>
      </c>
      <c r="D52" s="42" t="s">
        <v>119</v>
      </c>
      <c r="E52" s="51">
        <v>0</v>
      </c>
      <c r="F52" s="51">
        <v>0</v>
      </c>
      <c r="G52" s="27">
        <v>200000</v>
      </c>
      <c r="H52" s="42" t="s">
        <v>120</v>
      </c>
      <c r="I52" s="51">
        <v>0</v>
      </c>
      <c r="J52" s="42">
        <v>12</v>
      </c>
      <c r="K52" s="27">
        <v>1000000</v>
      </c>
      <c r="L52" s="42" t="s">
        <v>120</v>
      </c>
      <c r="M52" s="51">
        <v>0</v>
      </c>
      <c r="N52" s="51">
        <v>0</v>
      </c>
      <c r="O52" s="27">
        <v>800000</v>
      </c>
      <c r="P52" s="45">
        <f>O52+K52+G52</f>
        <v>2000000</v>
      </c>
    </row>
    <row r="53" spans="2:16" x14ac:dyDescent="0.3">
      <c r="B53" s="492" t="s">
        <v>7</v>
      </c>
      <c r="C53" s="492"/>
      <c r="D53" s="67"/>
      <c r="E53" s="68"/>
      <c r="F53" s="68"/>
      <c r="G53" s="69">
        <f>SUM(G49:G52)</f>
        <v>33624000</v>
      </c>
      <c r="H53" s="67"/>
      <c r="I53" s="68"/>
      <c r="J53" s="68"/>
      <c r="K53" s="69">
        <f>SUM(K49:K52)</f>
        <v>130168000</v>
      </c>
      <c r="L53" s="67"/>
      <c r="M53" s="68"/>
      <c r="N53" s="68"/>
      <c r="O53" s="69">
        <f>SUM(O49:O52)</f>
        <v>50176000</v>
      </c>
      <c r="P53" s="69">
        <f>O53+K53+G53</f>
        <v>213968000</v>
      </c>
    </row>
    <row r="56" spans="2:16" x14ac:dyDescent="0.3">
      <c r="B56" s="492" t="s">
        <v>14</v>
      </c>
      <c r="C56" s="492"/>
      <c r="D56" s="492"/>
      <c r="E56" s="492"/>
      <c r="F56" s="492"/>
      <c r="G56" s="492"/>
      <c r="H56" s="492"/>
      <c r="I56" s="492"/>
      <c r="J56" s="492"/>
      <c r="K56" s="492"/>
      <c r="L56" s="492"/>
      <c r="M56" s="492"/>
    </row>
    <row r="57" spans="2:16" x14ac:dyDescent="0.3">
      <c r="B57" s="500" t="s">
        <v>1</v>
      </c>
      <c r="C57" s="19" t="s">
        <v>121</v>
      </c>
      <c r="D57" s="505" t="s">
        <v>102</v>
      </c>
      <c r="E57" s="506"/>
      <c r="F57" s="507"/>
      <c r="G57" s="505" t="s">
        <v>59</v>
      </c>
      <c r="H57" s="506"/>
      <c r="I57" s="507"/>
      <c r="J57" s="505" t="s">
        <v>122</v>
      </c>
      <c r="K57" s="506"/>
      <c r="L57" s="507"/>
      <c r="M57" s="500" t="s">
        <v>85</v>
      </c>
    </row>
    <row r="58" spans="2:16" x14ac:dyDescent="0.3">
      <c r="B58" s="501"/>
      <c r="C58" s="19" t="s">
        <v>86</v>
      </c>
      <c r="D58" s="19" t="s">
        <v>87</v>
      </c>
      <c r="E58" s="19" t="s">
        <v>88</v>
      </c>
      <c r="F58" s="19" t="s">
        <v>89</v>
      </c>
      <c r="G58" s="19" t="s">
        <v>87</v>
      </c>
      <c r="H58" s="19" t="s">
        <v>88</v>
      </c>
      <c r="I58" s="19" t="s">
        <v>90</v>
      </c>
      <c r="J58" s="19" t="s">
        <v>87</v>
      </c>
      <c r="K58" s="19" t="s">
        <v>88</v>
      </c>
      <c r="L58" s="19" t="s">
        <v>91</v>
      </c>
      <c r="M58" s="501"/>
    </row>
    <row r="59" spans="2:16" x14ac:dyDescent="0.3">
      <c r="B59" s="22">
        <v>1</v>
      </c>
      <c r="C59" s="57" t="s">
        <v>123</v>
      </c>
      <c r="D59" s="58">
        <v>23</v>
      </c>
      <c r="E59" s="59">
        <v>375000</v>
      </c>
      <c r="F59" s="27">
        <f>E59*D59</f>
        <v>8625000</v>
      </c>
      <c r="G59" s="51">
        <v>0</v>
      </c>
      <c r="H59" s="51">
        <v>0</v>
      </c>
      <c r="I59" s="51">
        <v>0</v>
      </c>
      <c r="J59" s="51">
        <v>0</v>
      </c>
      <c r="K59" s="51">
        <v>0</v>
      </c>
      <c r="L59" s="51">
        <v>0</v>
      </c>
      <c r="M59" s="27">
        <f>F59</f>
        <v>8625000</v>
      </c>
    </row>
    <row r="60" spans="2:16" x14ac:dyDescent="0.3">
      <c r="B60" s="22">
        <v>2</v>
      </c>
      <c r="C60" s="57" t="s">
        <v>124</v>
      </c>
      <c r="D60" s="58">
        <v>2</v>
      </c>
      <c r="E60" s="59">
        <v>325000</v>
      </c>
      <c r="F60" s="27">
        <f t="shared" ref="F60:F71" si="1">E60*D60</f>
        <v>650000</v>
      </c>
      <c r="G60" s="51">
        <v>0</v>
      </c>
      <c r="H60" s="51">
        <v>0</v>
      </c>
      <c r="I60" s="51">
        <v>0</v>
      </c>
      <c r="J60" s="51">
        <v>0</v>
      </c>
      <c r="K60" s="51">
        <v>0</v>
      </c>
      <c r="L60" s="51">
        <v>0</v>
      </c>
      <c r="M60" s="27">
        <f t="shared" ref="M60:M71" si="2">F60</f>
        <v>650000</v>
      </c>
    </row>
    <row r="61" spans="2:16" x14ac:dyDescent="0.3">
      <c r="B61" s="22">
        <v>3</v>
      </c>
      <c r="C61" s="57" t="s">
        <v>125</v>
      </c>
      <c r="D61" s="58">
        <v>2</v>
      </c>
      <c r="E61" s="59">
        <v>150000</v>
      </c>
      <c r="F61" s="27">
        <f t="shared" si="1"/>
        <v>300000</v>
      </c>
      <c r="G61" s="51">
        <v>0</v>
      </c>
      <c r="H61" s="51">
        <v>0</v>
      </c>
      <c r="I61" s="51">
        <v>0</v>
      </c>
      <c r="J61" s="51">
        <v>0</v>
      </c>
      <c r="K61" s="51">
        <v>0</v>
      </c>
      <c r="L61" s="51">
        <v>0</v>
      </c>
      <c r="M61" s="27">
        <f t="shared" si="2"/>
        <v>300000</v>
      </c>
    </row>
    <row r="62" spans="2:16" x14ac:dyDescent="0.3">
      <c r="B62" s="22">
        <v>4</v>
      </c>
      <c r="C62" s="57" t="s">
        <v>126</v>
      </c>
      <c r="D62" s="58">
        <v>1</v>
      </c>
      <c r="E62" s="59">
        <v>500000</v>
      </c>
      <c r="F62" s="27">
        <f t="shared" si="1"/>
        <v>500000</v>
      </c>
      <c r="G62" s="51">
        <v>0</v>
      </c>
      <c r="H62" s="51">
        <v>0</v>
      </c>
      <c r="I62" s="51">
        <v>0</v>
      </c>
      <c r="J62" s="51">
        <v>0</v>
      </c>
      <c r="K62" s="51">
        <v>0</v>
      </c>
      <c r="L62" s="51">
        <v>0</v>
      </c>
      <c r="M62" s="27">
        <f t="shared" si="2"/>
        <v>500000</v>
      </c>
    </row>
    <row r="63" spans="2:16" x14ac:dyDescent="0.3">
      <c r="B63" s="22">
        <v>5</v>
      </c>
      <c r="C63" s="57" t="s">
        <v>127</v>
      </c>
      <c r="D63" s="58">
        <v>1</v>
      </c>
      <c r="E63" s="59">
        <v>600000</v>
      </c>
      <c r="F63" s="27">
        <f t="shared" si="1"/>
        <v>600000</v>
      </c>
      <c r="G63" s="51">
        <v>0</v>
      </c>
      <c r="H63" s="51">
        <v>0</v>
      </c>
      <c r="I63" s="51">
        <v>0</v>
      </c>
      <c r="J63" s="51">
        <v>0</v>
      </c>
      <c r="K63" s="51">
        <v>0</v>
      </c>
      <c r="L63" s="51">
        <v>0</v>
      </c>
      <c r="M63" s="27">
        <f>F63</f>
        <v>600000</v>
      </c>
    </row>
    <row r="64" spans="2:16" x14ac:dyDescent="0.3">
      <c r="B64" s="22">
        <v>6</v>
      </c>
      <c r="C64" s="57" t="s">
        <v>128</v>
      </c>
      <c r="D64" s="58">
        <v>10</v>
      </c>
      <c r="E64" s="59">
        <v>3500</v>
      </c>
      <c r="F64" s="27">
        <f t="shared" si="1"/>
        <v>35000</v>
      </c>
      <c r="G64" s="51">
        <v>0</v>
      </c>
      <c r="H64" s="51">
        <v>0</v>
      </c>
      <c r="I64" s="51">
        <v>0</v>
      </c>
      <c r="J64" s="51">
        <v>0</v>
      </c>
      <c r="K64" s="51">
        <v>0</v>
      </c>
      <c r="L64" s="51">
        <v>0</v>
      </c>
      <c r="M64" s="27">
        <f t="shared" si="2"/>
        <v>35000</v>
      </c>
    </row>
    <row r="65" spans="2:16" x14ac:dyDescent="0.3">
      <c r="B65" s="22">
        <v>7</v>
      </c>
      <c r="C65" s="57" t="s">
        <v>129</v>
      </c>
      <c r="D65" s="58">
        <v>4</v>
      </c>
      <c r="E65" s="59">
        <v>250000</v>
      </c>
      <c r="F65" s="27">
        <f t="shared" si="1"/>
        <v>1000000</v>
      </c>
      <c r="G65" s="51">
        <v>0</v>
      </c>
      <c r="H65" s="51">
        <v>0</v>
      </c>
      <c r="I65" s="51">
        <v>0</v>
      </c>
      <c r="J65" s="51">
        <v>0</v>
      </c>
      <c r="K65" s="51">
        <v>0</v>
      </c>
      <c r="L65" s="51">
        <v>0</v>
      </c>
      <c r="M65" s="27">
        <f t="shared" si="2"/>
        <v>1000000</v>
      </c>
    </row>
    <row r="66" spans="2:16" x14ac:dyDescent="0.3">
      <c r="B66" s="22">
        <v>8</v>
      </c>
      <c r="C66" s="57" t="s">
        <v>130</v>
      </c>
      <c r="D66" s="58">
        <v>20</v>
      </c>
      <c r="E66" s="59">
        <v>75000</v>
      </c>
      <c r="F66" s="27">
        <f t="shared" si="1"/>
        <v>1500000</v>
      </c>
      <c r="G66" s="51">
        <v>0</v>
      </c>
      <c r="H66" s="51">
        <v>0</v>
      </c>
      <c r="I66" s="51">
        <v>0</v>
      </c>
      <c r="J66" s="51">
        <v>0</v>
      </c>
      <c r="K66" s="51">
        <v>0</v>
      </c>
      <c r="L66" s="51">
        <v>0</v>
      </c>
      <c r="M66" s="27">
        <f t="shared" si="2"/>
        <v>1500000</v>
      </c>
    </row>
    <row r="67" spans="2:16" x14ac:dyDescent="0.3">
      <c r="B67" s="22">
        <v>9</v>
      </c>
      <c r="C67" s="57" t="s">
        <v>131</v>
      </c>
      <c r="D67" s="58">
        <v>4</v>
      </c>
      <c r="E67" s="59">
        <v>175000</v>
      </c>
      <c r="F67" s="27">
        <f t="shared" si="1"/>
        <v>700000</v>
      </c>
      <c r="G67" s="51">
        <v>0</v>
      </c>
      <c r="H67" s="51">
        <v>0</v>
      </c>
      <c r="I67" s="51">
        <v>0</v>
      </c>
      <c r="J67" s="51">
        <v>0</v>
      </c>
      <c r="K67" s="51">
        <v>0</v>
      </c>
      <c r="L67" s="51">
        <v>0</v>
      </c>
      <c r="M67" s="27">
        <f t="shared" si="2"/>
        <v>700000</v>
      </c>
    </row>
    <row r="68" spans="2:16" x14ac:dyDescent="0.3">
      <c r="B68" s="22">
        <v>10</v>
      </c>
      <c r="C68" s="57" t="s">
        <v>132</v>
      </c>
      <c r="D68" s="58">
        <v>10</v>
      </c>
      <c r="E68" s="59">
        <v>28000</v>
      </c>
      <c r="F68" s="27">
        <f t="shared" si="1"/>
        <v>280000</v>
      </c>
      <c r="G68" s="51">
        <v>0</v>
      </c>
      <c r="H68" s="51">
        <v>0</v>
      </c>
      <c r="I68" s="51">
        <v>0</v>
      </c>
      <c r="J68" s="51">
        <v>0</v>
      </c>
      <c r="K68" s="51">
        <v>0</v>
      </c>
      <c r="L68" s="51">
        <v>0</v>
      </c>
      <c r="M68" s="27">
        <f t="shared" si="2"/>
        <v>280000</v>
      </c>
    </row>
    <row r="69" spans="2:16" x14ac:dyDescent="0.3">
      <c r="B69" s="22">
        <v>11</v>
      </c>
      <c r="C69" s="57" t="s">
        <v>133</v>
      </c>
      <c r="D69" s="58">
        <v>1</v>
      </c>
      <c r="E69" s="59">
        <v>300000</v>
      </c>
      <c r="F69" s="27">
        <f t="shared" si="1"/>
        <v>300000</v>
      </c>
      <c r="G69" s="51">
        <v>0</v>
      </c>
      <c r="H69" s="51">
        <v>0</v>
      </c>
      <c r="I69" s="51">
        <v>0</v>
      </c>
      <c r="J69" s="51">
        <v>0</v>
      </c>
      <c r="K69" s="51">
        <v>0</v>
      </c>
      <c r="L69" s="51">
        <v>0</v>
      </c>
      <c r="M69" s="27">
        <f t="shared" si="2"/>
        <v>300000</v>
      </c>
    </row>
    <row r="70" spans="2:16" x14ac:dyDescent="0.3">
      <c r="B70" s="22">
        <v>12</v>
      </c>
      <c r="C70" s="57" t="s">
        <v>134</v>
      </c>
      <c r="D70" s="58">
        <v>3</v>
      </c>
      <c r="E70" s="59">
        <v>50000</v>
      </c>
      <c r="F70" s="27">
        <f t="shared" si="1"/>
        <v>150000</v>
      </c>
      <c r="G70" s="51">
        <v>0</v>
      </c>
      <c r="H70" s="51">
        <v>0</v>
      </c>
      <c r="I70" s="51">
        <v>0</v>
      </c>
      <c r="J70" s="51">
        <v>0</v>
      </c>
      <c r="K70" s="51">
        <v>0</v>
      </c>
      <c r="L70" s="51">
        <v>0</v>
      </c>
      <c r="M70" s="27">
        <f t="shared" si="2"/>
        <v>150000</v>
      </c>
    </row>
    <row r="71" spans="2:16" x14ac:dyDescent="0.3">
      <c r="B71" s="22">
        <v>13</v>
      </c>
      <c r="C71" s="57" t="s">
        <v>135</v>
      </c>
      <c r="D71" s="58">
        <v>1</v>
      </c>
      <c r="E71" s="59">
        <v>400000</v>
      </c>
      <c r="F71" s="27">
        <f t="shared" si="1"/>
        <v>400000</v>
      </c>
      <c r="G71" s="51">
        <v>0</v>
      </c>
      <c r="H71" s="51">
        <v>0</v>
      </c>
      <c r="I71" s="51">
        <v>0</v>
      </c>
      <c r="J71" s="51">
        <v>0</v>
      </c>
      <c r="K71" s="51">
        <v>0</v>
      </c>
      <c r="L71" s="51">
        <v>0</v>
      </c>
      <c r="M71" s="27">
        <f t="shared" si="2"/>
        <v>400000</v>
      </c>
    </row>
    <row r="72" spans="2:16" x14ac:dyDescent="0.3">
      <c r="B72" s="492" t="s">
        <v>7</v>
      </c>
      <c r="C72" s="492"/>
      <c r="D72" s="67"/>
      <c r="E72" s="68"/>
      <c r="F72" s="69">
        <f>SUM(F59:F71)</f>
        <v>15040000</v>
      </c>
      <c r="G72" s="74"/>
      <c r="H72" s="74"/>
      <c r="I72" s="74">
        <f>SUM(I59:I71)</f>
        <v>0</v>
      </c>
      <c r="J72" s="74"/>
      <c r="K72" s="74"/>
      <c r="L72" s="74">
        <f t="shared" ref="L72" si="3">SUM(L59:L71)</f>
        <v>0</v>
      </c>
      <c r="M72" s="69">
        <f>SUM(M59:M71)</f>
        <v>15040000</v>
      </c>
    </row>
    <row r="76" spans="2:16" x14ac:dyDescent="0.3">
      <c r="B76" s="502" t="s">
        <v>136</v>
      </c>
      <c r="C76" s="502"/>
      <c r="D76" s="502"/>
      <c r="E76" s="502"/>
      <c r="F76" s="502"/>
      <c r="G76" s="502"/>
      <c r="H76" s="502"/>
      <c r="I76" s="502"/>
      <c r="J76" s="502"/>
      <c r="K76" s="502"/>
      <c r="L76" s="502"/>
      <c r="M76" s="502"/>
      <c r="N76" s="502"/>
      <c r="O76" s="502"/>
      <c r="P76" s="502"/>
    </row>
    <row r="77" spans="2:16" x14ac:dyDescent="0.3">
      <c r="B77" s="37"/>
      <c r="C77" s="37"/>
      <c r="D77" s="502" t="s">
        <v>58</v>
      </c>
      <c r="E77" s="502"/>
      <c r="F77" s="502"/>
      <c r="G77" s="502"/>
      <c r="H77" s="502" t="s">
        <v>59</v>
      </c>
      <c r="I77" s="502"/>
      <c r="J77" s="502"/>
      <c r="K77" s="502"/>
      <c r="L77" s="502" t="s">
        <v>60</v>
      </c>
      <c r="M77" s="502"/>
      <c r="N77" s="502"/>
      <c r="O77" s="502"/>
      <c r="P77" s="503" t="s">
        <v>85</v>
      </c>
    </row>
    <row r="78" spans="2:16" x14ac:dyDescent="0.3">
      <c r="B78" s="38" t="s">
        <v>137</v>
      </c>
      <c r="C78" s="38" t="s">
        <v>86</v>
      </c>
      <c r="D78" s="38" t="s">
        <v>87</v>
      </c>
      <c r="E78" s="38" t="s">
        <v>88</v>
      </c>
      <c r="F78" s="38" t="s">
        <v>61</v>
      </c>
      <c r="G78" s="38" t="s">
        <v>89</v>
      </c>
      <c r="H78" s="38" t="s">
        <v>87</v>
      </c>
      <c r="I78" s="38" t="s">
        <v>88</v>
      </c>
      <c r="J78" s="38" t="s">
        <v>61</v>
      </c>
      <c r="K78" s="38" t="s">
        <v>90</v>
      </c>
      <c r="L78" s="38" t="s">
        <v>87</v>
      </c>
      <c r="M78" s="38" t="s">
        <v>88</v>
      </c>
      <c r="N78" s="38" t="s">
        <v>61</v>
      </c>
      <c r="O78" s="38" t="s">
        <v>91</v>
      </c>
      <c r="P78" s="504"/>
    </row>
    <row r="79" spans="2:16" ht="15.6" x14ac:dyDescent="0.3">
      <c r="B79" s="40">
        <v>1</v>
      </c>
      <c r="C79" s="53" t="s">
        <v>136</v>
      </c>
      <c r="D79" s="42" t="s">
        <v>93</v>
      </c>
      <c r="E79" s="54"/>
      <c r="F79" s="51">
        <v>2</v>
      </c>
      <c r="G79" s="45">
        <v>1600000</v>
      </c>
      <c r="H79" s="42" t="s">
        <v>93</v>
      </c>
      <c r="I79" s="54"/>
      <c r="J79" s="51">
        <v>12</v>
      </c>
      <c r="K79" s="45">
        <v>9600000</v>
      </c>
      <c r="L79" s="42" t="s">
        <v>93</v>
      </c>
      <c r="M79" s="54"/>
      <c r="N79" s="51">
        <v>12</v>
      </c>
      <c r="O79" s="45">
        <v>9600000</v>
      </c>
      <c r="P79" s="45">
        <f>O79+K79+G79</f>
        <v>20800000</v>
      </c>
    </row>
    <row r="80" spans="2:16" x14ac:dyDescent="0.3">
      <c r="B80" s="492" t="s">
        <v>7</v>
      </c>
      <c r="C80" s="492"/>
      <c r="D80" s="67"/>
      <c r="E80" s="68"/>
      <c r="F80" s="68"/>
      <c r="G80" s="69">
        <f>G79</f>
        <v>1600000</v>
      </c>
      <c r="H80" s="67"/>
      <c r="I80" s="68"/>
      <c r="J80" s="68"/>
      <c r="K80" s="69">
        <f>K79</f>
        <v>9600000</v>
      </c>
      <c r="L80" s="67"/>
      <c r="M80" s="68"/>
      <c r="N80" s="68"/>
      <c r="O80" s="69">
        <f>O79</f>
        <v>9600000</v>
      </c>
      <c r="P80" s="69">
        <f>P79</f>
        <v>20800000</v>
      </c>
    </row>
    <row r="84" spans="2:16" x14ac:dyDescent="0.3">
      <c r="B84" s="502" t="s">
        <v>12</v>
      </c>
      <c r="C84" s="502"/>
      <c r="D84" s="502"/>
      <c r="E84" s="502"/>
      <c r="F84" s="502"/>
      <c r="G84" s="502"/>
      <c r="H84" s="502"/>
      <c r="I84" s="502"/>
      <c r="J84" s="502"/>
      <c r="K84" s="502"/>
      <c r="L84" s="502"/>
      <c r="M84" s="502"/>
      <c r="N84" s="502"/>
      <c r="O84" s="502"/>
      <c r="P84" s="502"/>
    </row>
    <row r="85" spans="2:16" x14ac:dyDescent="0.3">
      <c r="B85" s="37"/>
      <c r="C85" s="37"/>
      <c r="D85" s="502" t="s">
        <v>138</v>
      </c>
      <c r="E85" s="502"/>
      <c r="F85" s="502"/>
      <c r="G85" s="502"/>
      <c r="H85" s="502" t="s">
        <v>59</v>
      </c>
      <c r="I85" s="502"/>
      <c r="J85" s="502"/>
      <c r="K85" s="502"/>
      <c r="L85" s="502" t="s">
        <v>60</v>
      </c>
      <c r="M85" s="502"/>
      <c r="N85" s="502"/>
      <c r="O85" s="502"/>
      <c r="P85" s="503" t="s">
        <v>85</v>
      </c>
    </row>
    <row r="86" spans="2:16" x14ac:dyDescent="0.3">
      <c r="B86" s="38" t="s">
        <v>137</v>
      </c>
      <c r="C86" s="38" t="s">
        <v>86</v>
      </c>
      <c r="D86" s="38" t="s">
        <v>88</v>
      </c>
      <c r="E86" s="38" t="s">
        <v>87</v>
      </c>
      <c r="F86" s="38" t="s">
        <v>61</v>
      </c>
      <c r="G86" s="38" t="s">
        <v>89</v>
      </c>
      <c r="H86" s="38" t="s">
        <v>88</v>
      </c>
      <c r="I86" s="38" t="s">
        <v>87</v>
      </c>
      <c r="J86" s="38" t="s">
        <v>61</v>
      </c>
      <c r="K86" s="38" t="s">
        <v>90</v>
      </c>
      <c r="L86" s="38" t="s">
        <v>88</v>
      </c>
      <c r="M86" s="38" t="s">
        <v>87</v>
      </c>
      <c r="N86" s="38" t="s">
        <v>61</v>
      </c>
      <c r="O86" s="38" t="s">
        <v>91</v>
      </c>
      <c r="P86" s="504"/>
    </row>
    <row r="87" spans="2:16" x14ac:dyDescent="0.3">
      <c r="B87" s="40">
        <v>1</v>
      </c>
      <c r="C87" s="62" t="s">
        <v>139</v>
      </c>
      <c r="D87" s="48">
        <v>1200000</v>
      </c>
      <c r="E87" s="75"/>
      <c r="F87" s="25">
        <v>12</v>
      </c>
      <c r="G87" s="27">
        <f>D87*F87</f>
        <v>14400000</v>
      </c>
      <c r="H87" s="48">
        <v>2400000</v>
      </c>
      <c r="I87" s="75">
        <f t="shared" ref="H87:I89" si="4">E87</f>
        <v>0</v>
      </c>
      <c r="J87" s="25">
        <v>12</v>
      </c>
      <c r="K87" s="27">
        <f>H87*J87</f>
        <v>28800000</v>
      </c>
      <c r="L87" s="48">
        <v>3000000</v>
      </c>
      <c r="M87" s="59">
        <f t="shared" ref="L87:M89" si="5">E87</f>
        <v>0</v>
      </c>
      <c r="N87" s="25">
        <v>12</v>
      </c>
      <c r="O87" s="45">
        <f>L87*N87</f>
        <v>36000000</v>
      </c>
      <c r="P87" s="45">
        <f>O87+K87+G87</f>
        <v>79200000</v>
      </c>
    </row>
    <row r="88" spans="2:16" x14ac:dyDescent="0.3">
      <c r="B88" s="40">
        <v>2</v>
      </c>
      <c r="C88" s="62" t="s">
        <v>140</v>
      </c>
      <c r="D88" s="48">
        <v>2000</v>
      </c>
      <c r="E88" s="75">
        <v>3</v>
      </c>
      <c r="F88" s="25">
        <v>2</v>
      </c>
      <c r="G88" s="27">
        <f>D88*F88*E88</f>
        <v>12000</v>
      </c>
      <c r="H88" s="48">
        <f t="shared" si="4"/>
        <v>2000</v>
      </c>
      <c r="I88" s="75">
        <v>3</v>
      </c>
      <c r="J88" s="25">
        <v>12</v>
      </c>
      <c r="K88" s="27">
        <f>H88*J88*I88</f>
        <v>72000</v>
      </c>
      <c r="L88" s="48">
        <f t="shared" si="5"/>
        <v>2000</v>
      </c>
      <c r="M88" s="75">
        <v>3</v>
      </c>
      <c r="N88" s="25">
        <v>12</v>
      </c>
      <c r="O88" s="45">
        <f>L88*N88*M88</f>
        <v>72000</v>
      </c>
      <c r="P88" s="45">
        <f>O88+K88+G88</f>
        <v>156000</v>
      </c>
    </row>
    <row r="89" spans="2:16" x14ac:dyDescent="0.3">
      <c r="B89" s="40">
        <v>3</v>
      </c>
      <c r="C89" s="62" t="s">
        <v>141</v>
      </c>
      <c r="D89" s="48">
        <v>3000</v>
      </c>
      <c r="E89" s="75">
        <v>10</v>
      </c>
      <c r="F89" s="25">
        <v>2</v>
      </c>
      <c r="G89" s="45">
        <f>D89*F89*E89</f>
        <v>60000</v>
      </c>
      <c r="H89" s="48">
        <f t="shared" si="4"/>
        <v>3000</v>
      </c>
      <c r="I89" s="75">
        <v>10</v>
      </c>
      <c r="J89" s="25">
        <v>12</v>
      </c>
      <c r="K89" s="45">
        <f>H89*J89*I89</f>
        <v>360000</v>
      </c>
      <c r="L89" s="48">
        <f t="shared" si="5"/>
        <v>3000</v>
      </c>
      <c r="M89" s="75">
        <v>10</v>
      </c>
      <c r="N89" s="25">
        <v>12</v>
      </c>
      <c r="O89" s="45">
        <f>L89*N89*M89</f>
        <v>360000</v>
      </c>
      <c r="P89" s="45">
        <f>O89+K89+G89</f>
        <v>780000</v>
      </c>
    </row>
    <row r="90" spans="2:16" x14ac:dyDescent="0.3">
      <c r="B90" s="492" t="s">
        <v>7</v>
      </c>
      <c r="C90" s="492"/>
      <c r="D90" s="68"/>
      <c r="E90" s="68"/>
      <c r="F90" s="68"/>
      <c r="G90" s="69">
        <f>SUM(G87:G89)</f>
        <v>14472000</v>
      </c>
      <c r="H90" s="68"/>
      <c r="I90" s="68"/>
      <c r="J90" s="68"/>
      <c r="K90" s="69">
        <f>SUM(K87:K89)</f>
        <v>29232000</v>
      </c>
      <c r="L90" s="68"/>
      <c r="M90" s="68"/>
      <c r="N90" s="68"/>
      <c r="O90" s="69">
        <f>SUM(O87:O89)</f>
        <v>36432000</v>
      </c>
      <c r="P90" s="69">
        <f>SUM(P87:P89)</f>
        <v>80136000</v>
      </c>
    </row>
  </sheetData>
  <mergeCells count="46">
    <mergeCell ref="B90:C90"/>
    <mergeCell ref="B80:C80"/>
    <mergeCell ref="B84:P84"/>
    <mergeCell ref="D85:G85"/>
    <mergeCell ref="H85:K85"/>
    <mergeCell ref="L85:O85"/>
    <mergeCell ref="P85:P86"/>
    <mergeCell ref="B72:C72"/>
    <mergeCell ref="B76:P76"/>
    <mergeCell ref="D77:G77"/>
    <mergeCell ref="H77:K77"/>
    <mergeCell ref="L77:O77"/>
    <mergeCell ref="P77:P78"/>
    <mergeCell ref="B56:M56"/>
    <mergeCell ref="B57:B58"/>
    <mergeCell ref="D57:F57"/>
    <mergeCell ref="G57:I57"/>
    <mergeCell ref="J57:L57"/>
    <mergeCell ref="M57:M58"/>
    <mergeCell ref="B53:C53"/>
    <mergeCell ref="B38:P38"/>
    <mergeCell ref="E39:G39"/>
    <mergeCell ref="H39:K39"/>
    <mergeCell ref="L39:O39"/>
    <mergeCell ref="P39:P40"/>
    <mergeCell ref="B42:C42"/>
    <mergeCell ref="B46:P46"/>
    <mergeCell ref="D47:G47"/>
    <mergeCell ref="H47:K47"/>
    <mergeCell ref="L47:O47"/>
    <mergeCell ref="P47:P48"/>
    <mergeCell ref="L2:O2"/>
    <mergeCell ref="D2:G2"/>
    <mergeCell ref="H2:K2"/>
    <mergeCell ref="B35:C35"/>
    <mergeCell ref="B21:M21"/>
    <mergeCell ref="D22:F22"/>
    <mergeCell ref="G22:I22"/>
    <mergeCell ref="J22:L22"/>
    <mergeCell ref="M22:M23"/>
    <mergeCell ref="B28:C28"/>
    <mergeCell ref="B31:N31"/>
    <mergeCell ref="E32:G32"/>
    <mergeCell ref="H32:J32"/>
    <mergeCell ref="K32:M32"/>
    <mergeCell ref="N32:N33"/>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BE4068-3BD3-4BAE-9F39-76DE434D698D}">
  <dimension ref="A1:K23"/>
  <sheetViews>
    <sheetView workbookViewId="0">
      <selection activeCell="E24" sqref="E24"/>
    </sheetView>
  </sheetViews>
  <sheetFormatPr defaultRowHeight="14.4" x14ac:dyDescent="0.3"/>
  <cols>
    <col min="1" max="1" width="42.5546875" bestFit="1" customWidth="1"/>
    <col min="2" max="2" width="29.77734375" bestFit="1" customWidth="1"/>
    <col min="3" max="3" width="8.33203125" customWidth="1"/>
    <col min="4" max="4" width="14.44140625" customWidth="1"/>
    <col min="5" max="5" width="9.5546875" customWidth="1"/>
    <col min="6" max="6" width="16.33203125" customWidth="1"/>
    <col min="7" max="7" width="7.44140625" customWidth="1"/>
  </cols>
  <sheetData>
    <row r="1" spans="1:11" x14ac:dyDescent="0.3">
      <c r="A1" s="330" t="s">
        <v>258</v>
      </c>
      <c r="B1" s="330" t="s">
        <v>388</v>
      </c>
      <c r="C1" s="330" t="s">
        <v>259</v>
      </c>
      <c r="D1" s="170" t="s">
        <v>389</v>
      </c>
      <c r="E1" s="170" t="s">
        <v>61</v>
      </c>
      <c r="F1" s="170" t="s">
        <v>260</v>
      </c>
      <c r="G1" s="329" t="s">
        <v>8</v>
      </c>
    </row>
    <row r="2" spans="1:11" x14ac:dyDescent="0.3">
      <c r="A2" s="171" t="s">
        <v>261</v>
      </c>
      <c r="B2" s="340"/>
      <c r="C2" s="171"/>
      <c r="D2" s="171"/>
      <c r="E2" s="171"/>
      <c r="F2" s="171"/>
      <c r="G2" s="172"/>
    </row>
    <row r="3" spans="1:11" x14ac:dyDescent="0.3">
      <c r="A3" s="173" t="s">
        <v>390</v>
      </c>
      <c r="B3" s="341" t="s">
        <v>391</v>
      </c>
      <c r="C3" s="174">
        <v>42</v>
      </c>
      <c r="D3" s="174">
        <v>150000</v>
      </c>
      <c r="E3" s="174">
        <v>6</v>
      </c>
      <c r="F3" s="174">
        <f>$C3*D3*E3</f>
        <v>37800000</v>
      </c>
      <c r="G3" s="175">
        <f>F3/$F$22</f>
        <v>0.16606116285673594</v>
      </c>
    </row>
    <row r="4" spans="1:11" x14ac:dyDescent="0.3">
      <c r="A4" s="173" t="s">
        <v>262</v>
      </c>
      <c r="B4" s="341" t="s">
        <v>391</v>
      </c>
      <c r="C4" s="174">
        <v>9</v>
      </c>
      <c r="D4" s="174">
        <v>90000</v>
      </c>
      <c r="E4" s="174">
        <v>6</v>
      </c>
      <c r="F4" s="174">
        <f>$C4*D4*E4</f>
        <v>4860000</v>
      </c>
      <c r="G4" s="175">
        <f>F4/$F$22</f>
        <v>2.1350720938723193E-2</v>
      </c>
    </row>
    <row r="5" spans="1:11" x14ac:dyDescent="0.3">
      <c r="A5" s="173" t="s">
        <v>263</v>
      </c>
      <c r="B5" s="341" t="s">
        <v>391</v>
      </c>
      <c r="C5" s="174">
        <v>300</v>
      </c>
      <c r="D5" s="174">
        <v>90000</v>
      </c>
      <c r="E5" s="174">
        <v>6</v>
      </c>
      <c r="F5" s="174">
        <f>$C5*D5*E5</f>
        <v>162000000</v>
      </c>
      <c r="G5" s="175">
        <f>F5/$F$22</f>
        <v>0.71169069795743978</v>
      </c>
    </row>
    <row r="6" spans="1:11" x14ac:dyDescent="0.3">
      <c r="A6" s="170" t="s">
        <v>264</v>
      </c>
      <c r="B6" s="170"/>
      <c r="C6" s="173"/>
      <c r="D6" s="174"/>
      <c r="E6" s="173"/>
      <c r="F6" s="176">
        <f>SUM(F3:F5)</f>
        <v>204660000</v>
      </c>
      <c r="G6" s="175">
        <f>F6/$F$22</f>
        <v>0.89910258175289892</v>
      </c>
    </row>
    <row r="7" spans="1:11" x14ac:dyDescent="0.3">
      <c r="A7" s="178" t="s">
        <v>265</v>
      </c>
      <c r="B7" s="178"/>
      <c r="C7" s="179"/>
      <c r="D7" s="179"/>
      <c r="E7" s="179"/>
      <c r="F7" s="179"/>
      <c r="G7" s="180"/>
    </row>
    <row r="8" spans="1:11" x14ac:dyDescent="0.3">
      <c r="A8" s="173" t="s">
        <v>266</v>
      </c>
      <c r="B8" s="342" t="s">
        <v>392</v>
      </c>
      <c r="C8" s="174">
        <f>C5+C3+C4</f>
        <v>351</v>
      </c>
      <c r="D8" s="174">
        <v>1500</v>
      </c>
      <c r="E8" s="174">
        <v>1</v>
      </c>
      <c r="F8" s="174">
        <f t="shared" ref="F8:F15" si="0">$C8*D8*E8</f>
        <v>526500</v>
      </c>
      <c r="G8" s="175">
        <f t="shared" ref="G8:G16" si="1">F8/$F$22</f>
        <v>2.3129947683616795E-3</v>
      </c>
      <c r="K8">
        <v>526500</v>
      </c>
    </row>
    <row r="9" spans="1:11" x14ac:dyDescent="0.3">
      <c r="A9" s="173" t="s">
        <v>393</v>
      </c>
      <c r="B9" s="342" t="s">
        <v>394</v>
      </c>
      <c r="C9" s="174">
        <f>C10</f>
        <v>3</v>
      </c>
      <c r="D9" s="174">
        <v>100000</v>
      </c>
      <c r="E9" s="174">
        <v>6</v>
      </c>
      <c r="F9" s="174">
        <f t="shared" si="0"/>
        <v>1800000</v>
      </c>
      <c r="G9" s="175">
        <f t="shared" si="1"/>
        <v>7.9076744217493316E-3</v>
      </c>
      <c r="K9">
        <v>1800000</v>
      </c>
    </row>
    <row r="10" spans="1:11" x14ac:dyDescent="0.3">
      <c r="A10" s="173" t="s">
        <v>395</v>
      </c>
      <c r="B10" s="342" t="s">
        <v>396</v>
      </c>
      <c r="C10" s="174">
        <f>C5/100</f>
        <v>3</v>
      </c>
      <c r="D10" s="174">
        <v>200000</v>
      </c>
      <c r="E10" s="174">
        <v>6</v>
      </c>
      <c r="F10" s="174">
        <f t="shared" si="0"/>
        <v>3600000</v>
      </c>
      <c r="G10" s="175">
        <f t="shared" si="1"/>
        <v>1.5815348843498663E-2</v>
      </c>
      <c r="K10">
        <v>3600000</v>
      </c>
    </row>
    <row r="11" spans="1:11" x14ac:dyDescent="0.3">
      <c r="A11" s="173" t="s">
        <v>267</v>
      </c>
      <c r="B11" s="342" t="s">
        <v>397</v>
      </c>
      <c r="C11" s="174">
        <f>C3+C4</f>
        <v>51</v>
      </c>
      <c r="D11" s="174">
        <v>50000</v>
      </c>
      <c r="E11" s="174">
        <v>1</v>
      </c>
      <c r="F11" s="174">
        <f t="shared" si="0"/>
        <v>2550000</v>
      </c>
      <c r="G11" s="175">
        <f t="shared" si="1"/>
        <v>1.1202538764144886E-2</v>
      </c>
      <c r="K11">
        <v>2550000</v>
      </c>
    </row>
    <row r="12" spans="1:11" x14ac:dyDescent="0.3">
      <c r="A12" s="181" t="s">
        <v>268</v>
      </c>
      <c r="B12" s="343" t="s">
        <v>398</v>
      </c>
      <c r="C12" s="174">
        <f>C5+C3+C4</f>
        <v>351</v>
      </c>
      <c r="D12" s="174">
        <v>1200</v>
      </c>
      <c r="E12" s="174">
        <v>6</v>
      </c>
      <c r="F12" s="174">
        <f t="shared" si="0"/>
        <v>2527200</v>
      </c>
      <c r="G12" s="175">
        <f t="shared" si="1"/>
        <v>1.1102374888136061E-2</v>
      </c>
      <c r="K12">
        <v>2527200</v>
      </c>
    </row>
    <row r="13" spans="1:11" x14ac:dyDescent="0.3">
      <c r="A13" s="173" t="s">
        <v>269</v>
      </c>
      <c r="B13" s="342" t="s">
        <v>399</v>
      </c>
      <c r="C13" s="174">
        <v>1</v>
      </c>
      <c r="D13" s="174">
        <v>500000</v>
      </c>
      <c r="E13" s="174">
        <v>6</v>
      </c>
      <c r="F13" s="174">
        <f t="shared" si="0"/>
        <v>3000000</v>
      </c>
      <c r="G13" s="175">
        <f t="shared" si="1"/>
        <v>1.3179457369582218E-2</v>
      </c>
      <c r="K13">
        <v>3000000</v>
      </c>
    </row>
    <row r="14" spans="1:11" x14ac:dyDescent="0.3">
      <c r="A14" s="173" t="s">
        <v>400</v>
      </c>
      <c r="B14" s="342" t="s">
        <v>401</v>
      </c>
      <c r="C14" s="174">
        <v>1</v>
      </c>
      <c r="D14" s="174">
        <v>250000</v>
      </c>
      <c r="E14" s="174">
        <v>6</v>
      </c>
      <c r="F14" s="174">
        <f t="shared" si="0"/>
        <v>1500000</v>
      </c>
      <c r="G14" s="175">
        <f t="shared" si="1"/>
        <v>6.5897286847911088E-3</v>
      </c>
      <c r="K14">
        <v>3000000</v>
      </c>
    </row>
    <row r="15" spans="1:11" x14ac:dyDescent="0.3">
      <c r="A15" s="173" t="s">
        <v>402</v>
      </c>
      <c r="B15" s="342" t="s">
        <v>403</v>
      </c>
      <c r="C15" s="174">
        <v>1</v>
      </c>
      <c r="D15" s="174">
        <v>500000</v>
      </c>
      <c r="E15" s="174">
        <v>6</v>
      </c>
      <c r="F15" s="174">
        <f t="shared" si="0"/>
        <v>3000000</v>
      </c>
      <c r="G15" s="175">
        <f t="shared" si="1"/>
        <v>1.3179457369582218E-2</v>
      </c>
      <c r="J15">
        <v>3000000</v>
      </c>
      <c r="K15">
        <f>SUM(K8:K14)</f>
        <v>17003700</v>
      </c>
    </row>
    <row r="16" spans="1:11" x14ac:dyDescent="0.3">
      <c r="A16" s="170" t="s">
        <v>264</v>
      </c>
      <c r="B16" s="170"/>
      <c r="C16" s="173"/>
      <c r="D16" s="174"/>
      <c r="E16" s="173"/>
      <c r="F16" s="182">
        <f>SUM(F8:F15)</f>
        <v>18503700</v>
      </c>
      <c r="G16" s="175">
        <f t="shared" si="1"/>
        <v>8.1289575109846163E-2</v>
      </c>
      <c r="J16">
        <v>4463274</v>
      </c>
    </row>
    <row r="17" spans="1:10" x14ac:dyDescent="0.3">
      <c r="A17" s="173"/>
      <c r="B17" s="173"/>
      <c r="C17" s="173"/>
      <c r="D17" s="174"/>
      <c r="E17" s="173"/>
      <c r="F17" s="182"/>
      <c r="G17" s="177"/>
      <c r="J17">
        <f>SUM(J15:J16)</f>
        <v>7463274</v>
      </c>
    </row>
    <row r="18" spans="1:10" x14ac:dyDescent="0.3">
      <c r="A18" s="183" t="s">
        <v>7</v>
      </c>
      <c r="B18" s="183"/>
      <c r="C18" s="184"/>
      <c r="D18" s="184"/>
      <c r="E18" s="184"/>
      <c r="F18" s="176">
        <f>F6+F16</f>
        <v>223163700</v>
      </c>
      <c r="G18" s="175">
        <f>F18/$F$22</f>
        <v>0.98039215686274506</v>
      </c>
    </row>
    <row r="19" spans="1:10" x14ac:dyDescent="0.3">
      <c r="A19" s="185"/>
      <c r="B19" s="185"/>
      <c r="C19" s="184"/>
      <c r="D19" s="184"/>
      <c r="E19" s="184"/>
      <c r="F19" s="176"/>
      <c r="G19" s="177"/>
    </row>
    <row r="20" spans="1:10" x14ac:dyDescent="0.3">
      <c r="A20" s="173" t="s">
        <v>270</v>
      </c>
      <c r="B20" s="344" t="s">
        <v>403</v>
      </c>
      <c r="C20" s="173"/>
      <c r="D20" s="173"/>
      <c r="E20" s="173"/>
      <c r="F20" s="174">
        <f>F18*2%</f>
        <v>4463274</v>
      </c>
      <c r="G20" s="175">
        <f>F20/$F$22</f>
        <v>1.9607843137254902E-2</v>
      </c>
    </row>
    <row r="21" spans="1:10" x14ac:dyDescent="0.3">
      <c r="A21" s="173"/>
      <c r="B21" s="173"/>
      <c r="C21" s="173"/>
      <c r="D21" s="173"/>
      <c r="E21" s="173"/>
      <c r="F21" s="174"/>
      <c r="G21" s="186"/>
    </row>
    <row r="22" spans="1:10" x14ac:dyDescent="0.3">
      <c r="A22" s="183" t="s">
        <v>271</v>
      </c>
      <c r="B22" s="183"/>
      <c r="C22" s="173"/>
      <c r="D22" s="173"/>
      <c r="E22" s="173"/>
      <c r="F22" s="176">
        <f>F18+F20</f>
        <v>227626974</v>
      </c>
      <c r="G22" s="175">
        <f>F22/$F$22</f>
        <v>1</v>
      </c>
    </row>
    <row r="23" spans="1:10" x14ac:dyDescent="0.3">
      <c r="F23" s="345"/>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A91D1F-8C1F-486B-8AFB-A6C6C6D5D375}">
  <dimension ref="A1:G26"/>
  <sheetViews>
    <sheetView topLeftCell="A4" workbookViewId="0">
      <selection activeCell="K19" sqref="K19"/>
    </sheetView>
  </sheetViews>
  <sheetFormatPr defaultRowHeight="14.4" x14ac:dyDescent="0.3"/>
  <cols>
    <col min="1" max="1" width="8.88671875" style="11"/>
    <col min="2" max="2" width="56.5546875" bestFit="1" customWidth="1"/>
    <col min="6" max="6" width="9.109375" bestFit="1" customWidth="1"/>
  </cols>
  <sheetData>
    <row r="1" spans="1:7" ht="27.6" x14ac:dyDescent="0.3">
      <c r="A1" s="516"/>
      <c r="B1" s="516"/>
      <c r="C1" s="516"/>
      <c r="D1" s="516"/>
      <c r="E1" s="516"/>
      <c r="F1" s="517"/>
      <c r="G1" s="284"/>
    </row>
    <row r="2" spans="1:7" ht="24.6" x14ac:dyDescent="0.3">
      <c r="A2" s="518"/>
      <c r="B2" s="518"/>
      <c r="C2" s="518"/>
      <c r="D2" s="518"/>
      <c r="E2" s="518"/>
      <c r="F2" s="519"/>
      <c r="G2" s="285"/>
    </row>
    <row r="3" spans="1:7" x14ac:dyDescent="0.3">
      <c r="A3" s="520"/>
      <c r="B3" s="520" t="s">
        <v>275</v>
      </c>
      <c r="C3" s="287" t="s">
        <v>276</v>
      </c>
      <c r="D3" s="287" t="s">
        <v>276</v>
      </c>
      <c r="E3" s="287" t="s">
        <v>277</v>
      </c>
      <c r="F3" s="287" t="s">
        <v>278</v>
      </c>
      <c r="G3" s="286" t="s">
        <v>279</v>
      </c>
    </row>
    <row r="4" spans="1:7" x14ac:dyDescent="0.3">
      <c r="A4" s="520"/>
      <c r="B4" s="520"/>
      <c r="C4" s="287" t="s">
        <v>280</v>
      </c>
      <c r="D4" s="287" t="s">
        <v>278</v>
      </c>
      <c r="E4" s="288" t="s">
        <v>281</v>
      </c>
      <c r="F4" s="288" t="s">
        <v>281</v>
      </c>
      <c r="G4" s="286" t="s">
        <v>282</v>
      </c>
    </row>
    <row r="5" spans="1:7" x14ac:dyDescent="0.3">
      <c r="A5" s="289"/>
      <c r="B5" s="290"/>
      <c r="C5" s="291"/>
      <c r="D5" s="292"/>
      <c r="E5" s="292"/>
      <c r="F5" s="293"/>
      <c r="G5" s="294"/>
    </row>
    <row r="6" spans="1:7" x14ac:dyDescent="0.3">
      <c r="A6" s="295" t="s">
        <v>325</v>
      </c>
      <c r="B6" s="296" t="s">
        <v>284</v>
      </c>
      <c r="C6" s="297"/>
      <c r="D6" s="298"/>
      <c r="E6" s="298"/>
      <c r="F6" s="296">
        <v>990000</v>
      </c>
      <c r="G6" s="290"/>
    </row>
    <row r="7" spans="1:7" x14ac:dyDescent="0.3">
      <c r="A7" s="299">
        <v>1</v>
      </c>
      <c r="B7" s="300" t="s">
        <v>285</v>
      </c>
      <c r="C7" s="301" t="s">
        <v>286</v>
      </c>
      <c r="D7" s="300">
        <v>15000</v>
      </c>
      <c r="E7" s="300">
        <v>30</v>
      </c>
      <c r="F7" s="302">
        <v>450000</v>
      </c>
      <c r="G7" s="303"/>
    </row>
    <row r="8" spans="1:7" x14ac:dyDescent="0.3">
      <c r="A8" s="299">
        <v>2</v>
      </c>
      <c r="B8" s="300" t="s">
        <v>287</v>
      </c>
      <c r="C8" s="301" t="s">
        <v>286</v>
      </c>
      <c r="D8" s="300">
        <v>18000</v>
      </c>
      <c r="E8" s="300">
        <v>30</v>
      </c>
      <c r="F8" s="302">
        <v>540000</v>
      </c>
      <c r="G8" s="303"/>
    </row>
    <row r="9" spans="1:7" x14ac:dyDescent="0.3">
      <c r="A9" s="295" t="s">
        <v>326</v>
      </c>
      <c r="B9" s="296" t="s">
        <v>297</v>
      </c>
      <c r="C9" s="304"/>
      <c r="D9" s="298"/>
      <c r="E9" s="305">
        <v>2</v>
      </c>
      <c r="F9" s="296">
        <v>5328500</v>
      </c>
      <c r="G9" s="306"/>
    </row>
    <row r="10" spans="1:7" x14ac:dyDescent="0.3">
      <c r="A10" s="307">
        <v>1</v>
      </c>
      <c r="B10" s="300" t="s">
        <v>327</v>
      </c>
      <c r="C10" s="301" t="s">
        <v>297</v>
      </c>
      <c r="D10" s="308">
        <v>463500</v>
      </c>
      <c r="E10" s="303">
        <v>1</v>
      </c>
      <c r="F10" s="309">
        <v>463500</v>
      </c>
      <c r="G10" s="310" t="s">
        <v>328</v>
      </c>
    </row>
    <row r="11" spans="1:7" x14ac:dyDescent="0.3">
      <c r="A11" s="307">
        <v>2</v>
      </c>
      <c r="B11" s="300" t="s">
        <v>329</v>
      </c>
      <c r="C11" s="301" t="s">
        <v>297</v>
      </c>
      <c r="D11" s="308">
        <v>2228000</v>
      </c>
      <c r="E11" s="303">
        <v>1</v>
      </c>
      <c r="F11" s="309">
        <v>2228000</v>
      </c>
      <c r="G11" s="310" t="s">
        <v>330</v>
      </c>
    </row>
    <row r="12" spans="1:7" x14ac:dyDescent="0.3">
      <c r="A12" s="307">
        <v>3</v>
      </c>
      <c r="B12" s="300" t="s">
        <v>331</v>
      </c>
      <c r="C12" s="301" t="s">
        <v>297</v>
      </c>
      <c r="D12" s="308">
        <v>405000</v>
      </c>
      <c r="E12" s="303">
        <v>1</v>
      </c>
      <c r="F12" s="309">
        <v>405000</v>
      </c>
      <c r="G12" s="310" t="s">
        <v>332</v>
      </c>
    </row>
    <row r="13" spans="1:7" x14ac:dyDescent="0.3">
      <c r="A13" s="307">
        <v>4</v>
      </c>
      <c r="B13" s="300" t="s">
        <v>333</v>
      </c>
      <c r="C13" s="301" t="s">
        <v>297</v>
      </c>
      <c r="D13" s="308">
        <v>2232000</v>
      </c>
      <c r="E13" s="303">
        <v>1</v>
      </c>
      <c r="F13" s="302">
        <v>2232000</v>
      </c>
      <c r="G13" s="310" t="s">
        <v>334</v>
      </c>
    </row>
    <row r="14" spans="1:7" x14ac:dyDescent="0.3">
      <c r="A14" s="295" t="s">
        <v>283</v>
      </c>
      <c r="B14" s="296" t="s">
        <v>335</v>
      </c>
      <c r="C14" s="304"/>
      <c r="D14" s="298"/>
      <c r="E14" s="305"/>
      <c r="F14" s="296">
        <v>2335000</v>
      </c>
      <c r="G14" s="306"/>
    </row>
    <row r="15" spans="1:7" x14ac:dyDescent="0.3">
      <c r="A15" s="311">
        <v>1</v>
      </c>
      <c r="B15" s="300" t="s">
        <v>335</v>
      </c>
      <c r="C15" s="301" t="s">
        <v>299</v>
      </c>
      <c r="D15" s="300"/>
      <c r="E15" s="303"/>
      <c r="F15" s="302">
        <v>2335000</v>
      </c>
      <c r="G15" s="310" t="s">
        <v>336</v>
      </c>
    </row>
    <row r="16" spans="1:7" x14ac:dyDescent="0.3">
      <c r="A16" s="295" t="s">
        <v>288</v>
      </c>
      <c r="B16" s="296" t="s">
        <v>301</v>
      </c>
      <c r="C16" s="304"/>
      <c r="D16" s="298"/>
      <c r="E16" s="305"/>
      <c r="F16" s="296">
        <v>776000</v>
      </c>
      <c r="G16" s="306"/>
    </row>
    <row r="17" spans="1:7" x14ac:dyDescent="0.3">
      <c r="A17" s="311">
        <v>1</v>
      </c>
      <c r="B17" s="312" t="s">
        <v>302</v>
      </c>
      <c r="C17" s="301" t="s">
        <v>303</v>
      </c>
      <c r="D17" s="300">
        <v>10000</v>
      </c>
      <c r="E17" s="303">
        <v>10</v>
      </c>
      <c r="F17" s="302">
        <v>100000</v>
      </c>
      <c r="G17" s="310"/>
    </row>
    <row r="18" spans="1:7" x14ac:dyDescent="0.3">
      <c r="A18" s="311">
        <v>2</v>
      </c>
      <c r="B18" s="312" t="s">
        <v>304</v>
      </c>
      <c r="C18" s="301" t="s">
        <v>305</v>
      </c>
      <c r="D18" s="300">
        <v>18000</v>
      </c>
      <c r="E18" s="303">
        <v>12</v>
      </c>
      <c r="F18" s="302">
        <v>216000</v>
      </c>
      <c r="G18" s="310"/>
    </row>
    <row r="19" spans="1:7" x14ac:dyDescent="0.3">
      <c r="A19" s="311">
        <v>3</v>
      </c>
      <c r="B19" s="313" t="s">
        <v>306</v>
      </c>
      <c r="C19" s="301" t="s">
        <v>305</v>
      </c>
      <c r="D19" s="300">
        <v>15000</v>
      </c>
      <c r="E19" s="300">
        <v>12</v>
      </c>
      <c r="F19" s="302">
        <v>180000</v>
      </c>
      <c r="G19" s="303"/>
    </row>
    <row r="20" spans="1:7" ht="27.6" x14ac:dyDescent="0.3">
      <c r="A20" s="311">
        <v>4</v>
      </c>
      <c r="B20" s="313" t="s">
        <v>308</v>
      </c>
      <c r="C20" s="301" t="s">
        <v>305</v>
      </c>
      <c r="D20" s="300">
        <v>2500</v>
      </c>
      <c r="E20" s="300">
        <v>40</v>
      </c>
      <c r="F20" s="302">
        <v>100000</v>
      </c>
      <c r="G20" s="303"/>
    </row>
    <row r="21" spans="1:7" ht="27.6" x14ac:dyDescent="0.3">
      <c r="A21" s="311">
        <v>5</v>
      </c>
      <c r="B21" s="313" t="s">
        <v>309</v>
      </c>
      <c r="C21" s="301" t="s">
        <v>305</v>
      </c>
      <c r="D21" s="300">
        <v>15000</v>
      </c>
      <c r="E21" s="300">
        <v>12</v>
      </c>
      <c r="F21" s="302">
        <v>180000</v>
      </c>
      <c r="G21" s="303"/>
    </row>
    <row r="22" spans="1:7" x14ac:dyDescent="0.3">
      <c r="A22" s="314"/>
      <c r="B22" s="315" t="s">
        <v>7</v>
      </c>
      <c r="C22" s="316"/>
      <c r="D22" s="317"/>
      <c r="E22" s="318"/>
      <c r="F22" s="315">
        <v>9429500</v>
      </c>
      <c r="G22" s="315"/>
    </row>
    <row r="23" spans="1:7" x14ac:dyDescent="0.3">
      <c r="A23" s="314"/>
      <c r="B23" s="319" t="s">
        <v>337</v>
      </c>
      <c r="C23" s="320" t="s">
        <v>311</v>
      </c>
      <c r="D23" s="321">
        <v>0.02</v>
      </c>
      <c r="E23" s="318"/>
      <c r="F23" s="317">
        <v>188590</v>
      </c>
      <c r="G23" s="315"/>
    </row>
    <row r="24" spans="1:7" x14ac:dyDescent="0.3">
      <c r="A24" s="314"/>
      <c r="B24" s="315" t="s">
        <v>53</v>
      </c>
      <c r="C24" s="316"/>
      <c r="D24" s="317"/>
      <c r="E24" s="318"/>
      <c r="F24" s="315">
        <v>9618090</v>
      </c>
      <c r="G24" s="315"/>
    </row>
    <row r="25" spans="1:7" x14ac:dyDescent="0.3">
      <c r="A25" s="322"/>
      <c r="B25" s="323"/>
      <c r="C25" s="324"/>
      <c r="D25" s="324"/>
      <c r="E25" s="325"/>
      <c r="F25" s="325"/>
      <c r="G25" s="325"/>
    </row>
    <row r="26" spans="1:7" x14ac:dyDescent="0.3">
      <c r="A26" s="322"/>
      <c r="B26" s="325"/>
      <c r="C26" s="325"/>
      <c r="D26" s="325"/>
      <c r="E26" s="302" t="s">
        <v>312</v>
      </c>
      <c r="F26" s="326">
        <v>9.6180900000000005</v>
      </c>
      <c r="G26" s="325"/>
    </row>
  </sheetData>
  <mergeCells count="4">
    <mergeCell ref="A1:F1"/>
    <mergeCell ref="A2:F2"/>
    <mergeCell ref="A3:A4"/>
    <mergeCell ref="B3:B4"/>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11AF78-4053-454C-A7D8-7FA1E8433B20}">
  <sheetPr>
    <tabColor rgb="FFFF0000"/>
  </sheetPr>
  <dimension ref="A1:N33"/>
  <sheetViews>
    <sheetView showZeros="0" view="pageBreakPreview" topLeftCell="B1" zoomScaleNormal="100" zoomScaleSheetLayoutView="100" workbookViewId="0">
      <pane xSplit="2" ySplit="4" topLeftCell="D12" activePane="bottomRight" state="frozen"/>
      <selection activeCell="B1" sqref="B1"/>
      <selection pane="topRight" activeCell="D1" sqref="D1"/>
      <selection pane="bottomLeft" activeCell="B5" sqref="B5"/>
      <selection pane="bottomRight" activeCell="M25" sqref="M25"/>
    </sheetView>
  </sheetViews>
  <sheetFormatPr defaultColWidth="7" defaultRowHeight="13.8" x14ac:dyDescent="0.3"/>
  <cols>
    <col min="1" max="1" width="2.5546875" style="188" customWidth="1"/>
    <col min="2" max="2" width="6.33203125" style="188" customWidth="1"/>
    <col min="3" max="3" width="57" style="188" bestFit="1" customWidth="1"/>
    <col min="4" max="4" width="9.6640625" style="188" bestFit="1" customWidth="1"/>
    <col min="5" max="5" width="12.77734375" style="188" bestFit="1" customWidth="1"/>
    <col min="6" max="6" width="10.21875" style="188" customWidth="1"/>
    <col min="7" max="7" width="13.88671875" style="188" bestFit="1" customWidth="1"/>
    <col min="8" max="8" width="9.21875" style="188" bestFit="1" customWidth="1"/>
    <col min="9" max="9" width="7" style="188"/>
    <col min="10" max="10" width="8.88671875" style="188" bestFit="1" customWidth="1"/>
    <col min="11" max="16384" width="7" style="188"/>
  </cols>
  <sheetData>
    <row r="1" spans="1:11" ht="26.4" customHeight="1" x14ac:dyDescent="0.3">
      <c r="A1" s="508" t="s">
        <v>272</v>
      </c>
      <c r="B1" s="509"/>
      <c r="C1" s="509"/>
      <c r="D1" s="509"/>
      <c r="E1" s="509"/>
      <c r="F1" s="509"/>
      <c r="G1" s="510"/>
      <c r="H1" s="187"/>
    </row>
    <row r="2" spans="1:11" s="190" customFormat="1" ht="24.6" x14ac:dyDescent="0.3">
      <c r="A2" s="511" t="s">
        <v>273</v>
      </c>
      <c r="B2" s="512"/>
      <c r="C2" s="512"/>
      <c r="D2" s="512"/>
      <c r="E2" s="512"/>
      <c r="F2" s="512"/>
      <c r="G2" s="513"/>
      <c r="H2" s="189"/>
    </row>
    <row r="3" spans="1:11" ht="15.75" customHeight="1" x14ac:dyDescent="0.3">
      <c r="A3" s="514" t="s">
        <v>274</v>
      </c>
      <c r="B3" s="514"/>
      <c r="C3" s="515" t="s">
        <v>275</v>
      </c>
      <c r="D3" s="191" t="s">
        <v>276</v>
      </c>
      <c r="E3" s="191" t="s">
        <v>276</v>
      </c>
      <c r="F3" s="191" t="s">
        <v>277</v>
      </c>
      <c r="G3" s="191" t="s">
        <v>278</v>
      </c>
      <c r="H3" s="192" t="s">
        <v>279</v>
      </c>
    </row>
    <row r="4" spans="1:11" x14ac:dyDescent="0.3">
      <c r="A4" s="514"/>
      <c r="B4" s="514"/>
      <c r="C4" s="515"/>
      <c r="D4" s="191" t="s">
        <v>280</v>
      </c>
      <c r="E4" s="191" t="s">
        <v>278</v>
      </c>
      <c r="F4" s="193" t="s">
        <v>281</v>
      </c>
      <c r="G4" s="193" t="s">
        <v>281</v>
      </c>
      <c r="H4" s="192" t="s">
        <v>282</v>
      </c>
    </row>
    <row r="5" spans="1:11" x14ac:dyDescent="0.3">
      <c r="A5" s="194"/>
      <c r="B5" s="195"/>
      <c r="D5" s="196"/>
      <c r="E5" s="197"/>
      <c r="F5" s="197"/>
      <c r="G5" s="198"/>
      <c r="H5" s="199"/>
    </row>
    <row r="6" spans="1:11" x14ac:dyDescent="0.3">
      <c r="A6" s="200" t="s">
        <v>283</v>
      </c>
      <c r="B6" s="201"/>
      <c r="C6" s="202" t="s">
        <v>284</v>
      </c>
      <c r="D6" s="203"/>
      <c r="E6" s="204"/>
      <c r="F6" s="204"/>
      <c r="G6" s="202">
        <f>SUM(G7:G8)</f>
        <v>3300000</v>
      </c>
    </row>
    <row r="7" spans="1:11" ht="16.5" customHeight="1" x14ac:dyDescent="0.3">
      <c r="A7" s="205"/>
      <c r="B7" s="206">
        <v>1</v>
      </c>
      <c r="C7" s="207" t="s">
        <v>285</v>
      </c>
      <c r="D7" s="208" t="s">
        <v>286</v>
      </c>
      <c r="E7" s="209">
        <v>15000</v>
      </c>
      <c r="F7" s="210">
        <v>100</v>
      </c>
      <c r="G7" s="211">
        <f t="shared" ref="G7:G8" si="0">F7*$E7</f>
        <v>1500000</v>
      </c>
      <c r="H7" s="212"/>
    </row>
    <row r="8" spans="1:11" ht="16.5" customHeight="1" x14ac:dyDescent="0.3">
      <c r="A8" s="205"/>
      <c r="B8" s="206">
        <v>2</v>
      </c>
      <c r="C8" s="207" t="s">
        <v>287</v>
      </c>
      <c r="D8" s="208" t="s">
        <v>286</v>
      </c>
      <c r="E8" s="209">
        <v>18000</v>
      </c>
      <c r="F8" s="210">
        <v>100</v>
      </c>
      <c r="G8" s="211">
        <f t="shared" si="0"/>
        <v>1800000</v>
      </c>
      <c r="H8" s="212"/>
    </row>
    <row r="9" spans="1:11" s="217" customFormat="1" x14ac:dyDescent="0.3">
      <c r="A9" s="200" t="s">
        <v>288</v>
      </c>
      <c r="B9" s="201"/>
      <c r="C9" s="213" t="s">
        <v>289</v>
      </c>
      <c r="D9" s="214"/>
      <c r="E9" s="204"/>
      <c r="F9" s="215">
        <f>SUM(F11:F13)</f>
        <v>550</v>
      </c>
      <c r="G9" s="202">
        <f>SUM(G10:G13)</f>
        <v>8790000</v>
      </c>
      <c r="H9" s="216"/>
    </row>
    <row r="10" spans="1:11" x14ac:dyDescent="0.3">
      <c r="A10" s="218"/>
      <c r="B10" s="219">
        <v>1</v>
      </c>
      <c r="C10" s="220" t="s">
        <v>290</v>
      </c>
      <c r="D10" s="221" t="s">
        <v>291</v>
      </c>
      <c r="E10" s="222">
        <v>18000</v>
      </c>
      <c r="F10" s="212">
        <v>30</v>
      </c>
      <c r="G10" s="223">
        <f t="shared" ref="G10:G13" si="1">F10*$E10</f>
        <v>540000</v>
      </c>
      <c r="H10" s="224" t="str">
        <f>H11</f>
        <v>Table F</v>
      </c>
    </row>
    <row r="11" spans="1:11" x14ac:dyDescent="0.3">
      <c r="A11" s="218"/>
      <c r="B11" s="219">
        <v>2</v>
      </c>
      <c r="C11" s="225" t="s">
        <v>292</v>
      </c>
      <c r="D11" s="208" t="s">
        <v>291</v>
      </c>
      <c r="E11" s="226">
        <v>15000</v>
      </c>
      <c r="F11" s="212">
        <f>F10</f>
        <v>30</v>
      </c>
      <c r="G11" s="223">
        <f t="shared" si="1"/>
        <v>450000</v>
      </c>
      <c r="H11" s="224" t="s">
        <v>338</v>
      </c>
      <c r="I11" s="227" t="s">
        <v>293</v>
      </c>
      <c r="J11" s="228"/>
      <c r="K11" s="228"/>
    </row>
    <row r="12" spans="1:11" x14ac:dyDescent="0.3">
      <c r="A12" s="229"/>
      <c r="B12" s="219">
        <v>3</v>
      </c>
      <c r="C12" s="225" t="s">
        <v>294</v>
      </c>
      <c r="D12" s="208" t="s">
        <v>291</v>
      </c>
      <c r="E12" s="226">
        <v>15000</v>
      </c>
      <c r="F12" s="212">
        <v>260</v>
      </c>
      <c r="G12" s="223">
        <f t="shared" si="1"/>
        <v>3900000</v>
      </c>
      <c r="H12" s="224"/>
    </row>
    <row r="13" spans="1:11" x14ac:dyDescent="0.3">
      <c r="A13" s="229"/>
      <c r="B13" s="219">
        <v>4</v>
      </c>
      <c r="C13" s="225" t="s">
        <v>295</v>
      </c>
      <c r="D13" s="208" t="s">
        <v>291</v>
      </c>
      <c r="E13" s="226">
        <v>15000</v>
      </c>
      <c r="F13" s="212">
        <f>F12</f>
        <v>260</v>
      </c>
      <c r="G13" s="223">
        <f t="shared" si="1"/>
        <v>3900000</v>
      </c>
      <c r="H13" s="224"/>
      <c r="K13" s="188">
        <f>F12*0.3</f>
        <v>78</v>
      </c>
    </row>
    <row r="14" spans="1:11" s="217" customFormat="1" x14ac:dyDescent="0.3">
      <c r="A14" s="200" t="s">
        <v>296</v>
      </c>
      <c r="B14" s="201"/>
      <c r="C14" s="202" t="s">
        <v>297</v>
      </c>
      <c r="D14" s="214"/>
      <c r="E14" s="204"/>
      <c r="F14" s="215">
        <f>SUM(F17:F18)</f>
        <v>2</v>
      </c>
      <c r="G14" s="202">
        <f>SUM(G15:G18)</f>
        <v>5328500</v>
      </c>
      <c r="H14" s="216"/>
      <c r="J14" s="217">
        <v>5328500</v>
      </c>
    </row>
    <row r="15" spans="1:11" x14ac:dyDescent="0.3">
      <c r="A15" s="230"/>
      <c r="B15" s="231">
        <v>1</v>
      </c>
      <c r="C15" s="232" t="s">
        <v>327</v>
      </c>
      <c r="D15" s="233" t="s">
        <v>297</v>
      </c>
      <c r="E15" s="234">
        <v>463500</v>
      </c>
      <c r="F15" s="212">
        <v>1</v>
      </c>
      <c r="G15" s="235">
        <f>E15</f>
        <v>463500</v>
      </c>
      <c r="H15" s="236" t="s">
        <v>328</v>
      </c>
    </row>
    <row r="16" spans="1:11" x14ac:dyDescent="0.3">
      <c r="A16" s="230"/>
      <c r="B16" s="231">
        <v>2</v>
      </c>
      <c r="C16" s="232" t="s">
        <v>329</v>
      </c>
      <c r="D16" s="233" t="s">
        <v>297</v>
      </c>
      <c r="E16" s="234">
        <v>2228000</v>
      </c>
      <c r="F16" s="212">
        <v>1</v>
      </c>
      <c r="G16" s="235">
        <f>E16</f>
        <v>2228000</v>
      </c>
      <c r="H16" s="236" t="s">
        <v>330</v>
      </c>
    </row>
    <row r="17" spans="1:14" x14ac:dyDescent="0.3">
      <c r="A17" s="230"/>
      <c r="B17" s="231">
        <v>3</v>
      </c>
      <c r="C17" s="232" t="s">
        <v>331</v>
      </c>
      <c r="D17" s="233" t="s">
        <v>297</v>
      </c>
      <c r="E17" s="234">
        <v>405000</v>
      </c>
      <c r="F17" s="212">
        <v>1</v>
      </c>
      <c r="G17" s="235">
        <f>E17</f>
        <v>405000</v>
      </c>
      <c r="H17" s="236" t="s">
        <v>332</v>
      </c>
    </row>
    <row r="18" spans="1:14" x14ac:dyDescent="0.3">
      <c r="A18" s="230"/>
      <c r="B18" s="231">
        <v>4</v>
      </c>
      <c r="C18" s="232" t="s">
        <v>333</v>
      </c>
      <c r="D18" s="233" t="s">
        <v>297</v>
      </c>
      <c r="E18" s="234">
        <v>2232000</v>
      </c>
      <c r="F18" s="212">
        <v>1</v>
      </c>
      <c r="G18" s="188">
        <f>E18</f>
        <v>2232000</v>
      </c>
      <c r="H18" s="237" t="s">
        <v>334</v>
      </c>
    </row>
    <row r="19" spans="1:14" x14ac:dyDescent="0.3">
      <c r="A19" s="200" t="s">
        <v>298</v>
      </c>
      <c r="B19" s="201"/>
      <c r="C19" s="202" t="s">
        <v>335</v>
      </c>
      <c r="D19" s="214"/>
      <c r="E19" s="204"/>
      <c r="F19" s="215"/>
      <c r="G19" s="202">
        <f>SUM(G20:G20)</f>
        <v>3300000</v>
      </c>
      <c r="H19" s="216"/>
    </row>
    <row r="20" spans="1:14" x14ac:dyDescent="0.3">
      <c r="A20" s="238"/>
      <c r="B20" s="239">
        <v>1</v>
      </c>
      <c r="C20" s="240" t="s">
        <v>335</v>
      </c>
      <c r="D20" s="221" t="s">
        <v>299</v>
      </c>
      <c r="E20" s="226"/>
      <c r="F20" s="212"/>
      <c r="G20" s="241">
        <v>3300000</v>
      </c>
      <c r="H20" s="237" t="s">
        <v>336</v>
      </c>
    </row>
    <row r="21" spans="1:14" x14ac:dyDescent="0.3">
      <c r="A21" s="200" t="s">
        <v>300</v>
      </c>
      <c r="B21" s="201"/>
      <c r="C21" s="202" t="s">
        <v>301</v>
      </c>
      <c r="D21" s="214"/>
      <c r="E21" s="204"/>
      <c r="F21" s="215"/>
      <c r="G21" s="202">
        <f>SUM(G22:G26)</f>
        <v>1072500</v>
      </c>
      <c r="H21" s="216"/>
    </row>
    <row r="22" spans="1:14" x14ac:dyDescent="0.3">
      <c r="A22" s="242"/>
      <c r="B22" s="239">
        <v>1</v>
      </c>
      <c r="C22" s="243" t="s">
        <v>302</v>
      </c>
      <c r="D22" s="208" t="s">
        <v>303</v>
      </c>
      <c r="E22" s="244">
        <v>10000</v>
      </c>
      <c r="F22" s="212">
        <v>24</v>
      </c>
      <c r="G22" s="211">
        <f>F22*$E22</f>
        <v>240000</v>
      </c>
      <c r="H22" s="237"/>
    </row>
    <row r="23" spans="1:14" x14ac:dyDescent="0.3">
      <c r="A23" s="194"/>
      <c r="B23" s="239">
        <v>2</v>
      </c>
      <c r="C23" s="245" t="s">
        <v>304</v>
      </c>
      <c r="D23" s="233" t="s">
        <v>305</v>
      </c>
      <c r="E23" s="209">
        <v>18000</v>
      </c>
      <c r="F23" s="246">
        <v>15</v>
      </c>
      <c r="G23" s="241">
        <f>F23*$E23</f>
        <v>270000</v>
      </c>
      <c r="H23" s="247"/>
    </row>
    <row r="24" spans="1:14" x14ac:dyDescent="0.3">
      <c r="A24" s="229"/>
      <c r="B24" s="239">
        <v>3</v>
      </c>
      <c r="C24" s="248" t="s">
        <v>306</v>
      </c>
      <c r="D24" s="233" t="s">
        <v>305</v>
      </c>
      <c r="E24" s="209">
        <v>15000</v>
      </c>
      <c r="F24" s="210">
        <v>15</v>
      </c>
      <c r="G24" s="241">
        <f t="shared" ref="G24:G26" si="2">E24*F24</f>
        <v>225000</v>
      </c>
      <c r="H24" s="212"/>
      <c r="I24" s="227" t="s">
        <v>307</v>
      </c>
      <c r="J24" s="228"/>
      <c r="K24" s="228"/>
      <c r="L24" s="249"/>
      <c r="M24" s="217"/>
    </row>
    <row r="25" spans="1:14" ht="27.6" x14ac:dyDescent="0.3">
      <c r="A25" s="229"/>
      <c r="B25" s="239">
        <v>4</v>
      </c>
      <c r="C25" s="248" t="s">
        <v>308</v>
      </c>
      <c r="D25" s="233" t="s">
        <v>305</v>
      </c>
      <c r="E25" s="209">
        <v>2500</v>
      </c>
      <c r="F25" s="210">
        <f>3*15</f>
        <v>45</v>
      </c>
      <c r="G25" s="241">
        <f t="shared" si="2"/>
        <v>112500</v>
      </c>
      <c r="H25" s="212"/>
      <c r="I25" s="250"/>
      <c r="J25" s="251"/>
      <c r="L25" s="249"/>
      <c r="M25" s="217"/>
    </row>
    <row r="26" spans="1:14" ht="28.2" thickBot="1" x14ac:dyDescent="0.35">
      <c r="A26" s="229"/>
      <c r="B26" s="239">
        <v>5</v>
      </c>
      <c r="C26" s="248" t="s">
        <v>309</v>
      </c>
      <c r="D26" s="233" t="s">
        <v>305</v>
      </c>
      <c r="E26" s="209">
        <v>15000</v>
      </c>
      <c r="F26" s="210">
        <v>15</v>
      </c>
      <c r="G26" s="241">
        <f t="shared" si="2"/>
        <v>225000</v>
      </c>
      <c r="H26" s="212"/>
      <c r="I26" s="250"/>
      <c r="J26" s="251"/>
      <c r="L26" s="249"/>
      <c r="M26" s="217"/>
    </row>
    <row r="27" spans="1:14" x14ac:dyDescent="0.3">
      <c r="A27" s="252"/>
      <c r="B27" s="253"/>
      <c r="C27" s="254" t="s">
        <v>7</v>
      </c>
      <c r="D27" s="255"/>
      <c r="E27" s="256"/>
      <c r="F27" s="257"/>
      <c r="G27" s="258">
        <f>G21++G19+G14+G9+G6</f>
        <v>21791000</v>
      </c>
      <c r="H27" s="259"/>
      <c r="N27" s="202">
        <f>SUM(N28:N32)</f>
        <v>0</v>
      </c>
    </row>
    <row r="28" spans="1:14" x14ac:dyDescent="0.3">
      <c r="A28" s="252"/>
      <c r="B28" s="253"/>
      <c r="C28" s="260" t="s">
        <v>310</v>
      </c>
      <c r="D28" s="261" t="s">
        <v>311</v>
      </c>
      <c r="E28" s="262">
        <v>2.5000000000000001E-2</v>
      </c>
      <c r="F28" s="263"/>
      <c r="G28" s="264">
        <f>0.025*G27</f>
        <v>544775</v>
      </c>
      <c r="H28" s="265"/>
    </row>
    <row r="29" spans="1:14" ht="14.4" thickBot="1" x14ac:dyDescent="0.35">
      <c r="A29" s="266"/>
      <c r="B29" s="267"/>
      <c r="C29" s="268" t="s">
        <v>53</v>
      </c>
      <c r="D29" s="269"/>
      <c r="E29" s="264"/>
      <c r="F29" s="263"/>
      <c r="G29" s="270">
        <f>SUM(G27:G28)</f>
        <v>22335775</v>
      </c>
      <c r="H29" s="271"/>
    </row>
    <row r="30" spans="1:14" x14ac:dyDescent="0.3">
      <c r="C30" s="272"/>
      <c r="D30" s="273"/>
      <c r="E30" s="273"/>
    </row>
    <row r="31" spans="1:14" x14ac:dyDescent="0.3">
      <c r="F31" s="274" t="s">
        <v>312</v>
      </c>
      <c r="G31" s="275">
        <f>G29/1000000</f>
        <v>22.335775000000002</v>
      </c>
    </row>
    <row r="32" spans="1:14" x14ac:dyDescent="0.3">
      <c r="G32" s="276"/>
    </row>
    <row r="33" spans="8:8" x14ac:dyDescent="0.3">
      <c r="H33" s="277"/>
    </row>
  </sheetData>
  <mergeCells count="4">
    <mergeCell ref="A1:G1"/>
    <mergeCell ref="A2:G2"/>
    <mergeCell ref="A3:B4"/>
    <mergeCell ref="C3:C4"/>
  </mergeCells>
  <pageMargins left="0.70866141732283472" right="0.70866141732283472" top="0.74803149606299213" bottom="0.74803149606299213" header="0.31496062992125984" footer="0.31496062992125984"/>
  <pageSetup paperSize="9" scale="60" orientation="portrait" r:id="rId1"/>
  <headerFooter alignWithMargins="0"/>
  <rowBreaks count="1" manualBreakCount="1">
    <brk id="29" max="15"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3F3603-F3A5-43DA-8F41-A8FC677DF38D}">
  <sheetPr>
    <tabColor rgb="FFFFFF00"/>
  </sheetPr>
  <dimension ref="A1:M16"/>
  <sheetViews>
    <sheetView workbookViewId="0">
      <selection activeCell="E18" sqref="E18"/>
    </sheetView>
  </sheetViews>
  <sheetFormatPr defaultRowHeight="14.4" x14ac:dyDescent="0.3"/>
  <cols>
    <col min="1" max="1" width="30.5546875" bestFit="1" customWidth="1"/>
    <col min="2" max="2" width="18.33203125" bestFit="1" customWidth="1"/>
    <col min="3" max="3" width="9.33203125" customWidth="1"/>
    <col min="4" max="4" width="16.21875" bestFit="1" customWidth="1"/>
    <col min="5" max="5" width="10" customWidth="1"/>
    <col min="6" max="6" width="19" bestFit="1" customWidth="1"/>
    <col min="7" max="7" width="8.77734375" bestFit="1" customWidth="1"/>
    <col min="8" max="8" width="17.44140625" bestFit="1" customWidth="1"/>
    <col min="9" max="9" width="8.77734375" bestFit="1" customWidth="1"/>
    <col min="10" max="10" width="23" bestFit="1" customWidth="1"/>
    <col min="11" max="11" width="8.77734375" customWidth="1"/>
    <col min="12" max="12" width="17.44140625" bestFit="1" customWidth="1"/>
    <col min="13" max="13" width="14" bestFit="1" customWidth="1"/>
  </cols>
  <sheetData>
    <row r="1" spans="1:13" ht="15.6" x14ac:dyDescent="0.3">
      <c r="A1" s="473" t="s">
        <v>409</v>
      </c>
      <c r="B1" s="469" t="s">
        <v>151</v>
      </c>
      <c r="C1" s="470"/>
      <c r="D1" s="474" t="s">
        <v>149</v>
      </c>
      <c r="E1" s="474"/>
      <c r="F1" s="475" t="s">
        <v>424</v>
      </c>
      <c r="G1" s="475"/>
      <c r="H1" s="476" t="s">
        <v>147</v>
      </c>
      <c r="I1" s="476"/>
      <c r="J1" s="471" t="s">
        <v>433</v>
      </c>
      <c r="K1" s="472"/>
      <c r="L1" s="465" t="s">
        <v>313</v>
      </c>
      <c r="M1" s="465"/>
    </row>
    <row r="2" spans="1:13" ht="31.2" x14ac:dyDescent="0.3">
      <c r="A2" s="473"/>
      <c r="B2" s="396" t="s">
        <v>425</v>
      </c>
      <c r="C2" s="397" t="s">
        <v>426</v>
      </c>
      <c r="D2" s="398" t="s">
        <v>425</v>
      </c>
      <c r="E2" s="399" t="s">
        <v>426</v>
      </c>
      <c r="F2" s="400" t="s">
        <v>425</v>
      </c>
      <c r="G2" s="401" t="s">
        <v>426</v>
      </c>
      <c r="H2" s="402" t="s">
        <v>425</v>
      </c>
      <c r="I2" s="403" t="s">
        <v>426</v>
      </c>
      <c r="J2" s="404" t="s">
        <v>425</v>
      </c>
      <c r="K2" s="405" t="s">
        <v>426</v>
      </c>
      <c r="L2" s="406" t="s">
        <v>425</v>
      </c>
      <c r="M2" s="407" t="s">
        <v>426</v>
      </c>
    </row>
    <row r="3" spans="1:13" ht="15.6" x14ac:dyDescent="0.3">
      <c r="A3" s="395"/>
      <c r="B3" s="466" t="s">
        <v>427</v>
      </c>
      <c r="C3" s="467"/>
      <c r="D3" s="467"/>
      <c r="E3" s="467"/>
      <c r="F3" s="467"/>
      <c r="G3" s="467"/>
      <c r="H3" s="467"/>
      <c r="I3" s="467"/>
      <c r="J3" s="467"/>
      <c r="K3" s="467"/>
      <c r="L3" s="467"/>
      <c r="M3" s="468"/>
    </row>
    <row r="4" spans="1:13" ht="16.2" thickBot="1" x14ac:dyDescent="0.35">
      <c r="A4" s="408" t="s">
        <v>428</v>
      </c>
      <c r="B4" s="409">
        <f>PSPA!F3</f>
        <v>892786973.31999993</v>
      </c>
      <c r="C4" s="410">
        <f>B4/$B$16</f>
        <v>0.26936918191397613</v>
      </c>
      <c r="D4" s="392">
        <f>PITB_1!H6</f>
        <v>272541234</v>
      </c>
      <c r="E4" s="411">
        <f>D4/$D$16</f>
        <v>0.42875637518938448</v>
      </c>
      <c r="F4" s="412">
        <f>'Urban Unit'!F6</f>
        <v>204660000</v>
      </c>
      <c r="G4" s="413">
        <f>F4/$F$16</f>
        <v>0.89910258175289892</v>
      </c>
      <c r="H4" s="414">
        <v>0</v>
      </c>
      <c r="I4" s="415">
        <f>H4/$H$16</f>
        <v>0</v>
      </c>
      <c r="J4" s="416">
        <f>'District Administration'!F3</f>
        <v>780000000</v>
      </c>
      <c r="K4" s="417">
        <f>J4/$J$16</f>
        <v>0.97499999999999998</v>
      </c>
      <c r="L4" s="418">
        <f>ISU!F2</f>
        <v>36209245.609200001</v>
      </c>
      <c r="M4" s="419">
        <f>L4/$L$16</f>
        <v>0.4427140186891152</v>
      </c>
    </row>
    <row r="5" spans="1:13" ht="16.2" thickBot="1" x14ac:dyDescent="0.35">
      <c r="A5" s="420" t="s">
        <v>429</v>
      </c>
      <c r="B5" s="421">
        <f>PSPA!F32</f>
        <v>9800000</v>
      </c>
      <c r="C5" s="410">
        <f t="shared" ref="C5:C16" si="0">B5/$B$16</f>
        <v>2.9568285174909033E-3</v>
      </c>
      <c r="D5" s="393">
        <v>0</v>
      </c>
      <c r="E5" s="411">
        <f t="shared" ref="E5:E16" si="1">D5/$D$16</f>
        <v>0</v>
      </c>
      <c r="F5" s="422">
        <v>0</v>
      </c>
      <c r="G5" s="413">
        <f t="shared" ref="G5:G16" si="2">F5/$F$16</f>
        <v>0</v>
      </c>
      <c r="H5" s="414">
        <v>0</v>
      </c>
      <c r="I5" s="415">
        <f t="shared" ref="I5:I16" si="3">H5/$H$16</f>
        <v>0</v>
      </c>
      <c r="J5" s="423"/>
      <c r="K5" s="417"/>
      <c r="L5" s="424"/>
      <c r="M5" s="419"/>
    </row>
    <row r="6" spans="1:13" ht="31.8" thickBot="1" x14ac:dyDescent="0.35">
      <c r="A6" s="425" t="s">
        <v>430</v>
      </c>
      <c r="B6" s="421">
        <f>PSPA!L15</f>
        <v>967600000</v>
      </c>
      <c r="C6" s="410">
        <f t="shared" si="0"/>
        <v>0.29194155852287734</v>
      </c>
      <c r="D6" s="393">
        <v>0</v>
      </c>
      <c r="E6" s="411">
        <f t="shared" si="1"/>
        <v>0</v>
      </c>
      <c r="F6" s="422">
        <v>0</v>
      </c>
      <c r="G6" s="413">
        <f t="shared" si="2"/>
        <v>0</v>
      </c>
      <c r="H6" s="414">
        <v>0</v>
      </c>
      <c r="I6" s="415">
        <f t="shared" si="3"/>
        <v>0</v>
      </c>
      <c r="J6" s="423"/>
      <c r="K6" s="417"/>
      <c r="L6" s="424"/>
      <c r="M6" s="419"/>
    </row>
    <row r="7" spans="1:13" ht="16.2" thickBot="1" x14ac:dyDescent="0.35">
      <c r="A7" s="420" t="s">
        <v>418</v>
      </c>
      <c r="B7" s="421">
        <f>PSPA!F15</f>
        <v>426000000</v>
      </c>
      <c r="C7" s="410">
        <f t="shared" si="0"/>
        <v>0.12853152535215559</v>
      </c>
      <c r="D7" s="393">
        <f>PITB_1!H16</f>
        <v>2500000</v>
      </c>
      <c r="E7" s="411">
        <f t="shared" si="1"/>
        <v>3.9329496026772274E-3</v>
      </c>
      <c r="F7" s="422">
        <f>'Urban Unit'!F14</f>
        <v>1500000</v>
      </c>
      <c r="G7" s="413">
        <f t="shared" si="2"/>
        <v>6.5897286847911088E-3</v>
      </c>
      <c r="H7" s="414">
        <v>0</v>
      </c>
      <c r="I7" s="415">
        <f t="shared" si="3"/>
        <v>0</v>
      </c>
      <c r="J7" s="423">
        <f>'District Administration'!F4</f>
        <v>20000000</v>
      </c>
      <c r="K7" s="417">
        <f t="shared" ref="K7:K16" si="4">J7/$J$16</f>
        <v>2.5000000000000001E-2</v>
      </c>
      <c r="L7" s="424"/>
      <c r="M7" s="419"/>
    </row>
    <row r="8" spans="1:13" ht="16.2" thickBot="1" x14ac:dyDescent="0.35">
      <c r="A8" s="420" t="s">
        <v>420</v>
      </c>
      <c r="B8" s="421">
        <f>PSPA!L17</f>
        <v>30000000</v>
      </c>
      <c r="C8" s="410">
        <f t="shared" si="0"/>
        <v>9.051515869870113E-3</v>
      </c>
      <c r="D8" s="393">
        <v>0</v>
      </c>
      <c r="E8" s="411">
        <f t="shared" si="1"/>
        <v>0</v>
      </c>
      <c r="F8" s="422">
        <v>0</v>
      </c>
      <c r="G8" s="413">
        <f t="shared" si="2"/>
        <v>0</v>
      </c>
      <c r="H8" s="414">
        <v>0</v>
      </c>
      <c r="I8" s="415">
        <f t="shared" si="3"/>
        <v>0</v>
      </c>
      <c r="J8" s="423"/>
      <c r="K8" s="417"/>
      <c r="L8" s="424"/>
      <c r="M8" s="419"/>
    </row>
    <row r="9" spans="1:13" ht="16.2" thickBot="1" x14ac:dyDescent="0.35">
      <c r="A9" s="420" t="s">
        <v>422</v>
      </c>
      <c r="B9" s="421">
        <f>PSPA!H25</f>
        <v>938175000</v>
      </c>
      <c r="C9" s="410">
        <f t="shared" si="0"/>
        <v>0.2830635300405131</v>
      </c>
      <c r="D9" s="393">
        <f>PITB_1!J27</f>
        <v>360614000</v>
      </c>
      <c r="E9" s="411">
        <f t="shared" si="1"/>
        <v>0.56731067520793832</v>
      </c>
      <c r="F9" s="422">
        <f>'Urban Unit'!K15</f>
        <v>17003700</v>
      </c>
      <c r="G9" s="413">
        <f t="shared" si="2"/>
        <v>7.4699846425055061E-2</v>
      </c>
      <c r="H9" s="414"/>
      <c r="I9" s="415">
        <f t="shared" si="3"/>
        <v>0</v>
      </c>
      <c r="J9" s="423"/>
      <c r="K9" s="417"/>
      <c r="L9" s="426">
        <f>ISU!F3+ISU!F4+ISU!F5+ISU!F6+ISU!F7+ISU!F8+ISU!F9+ISU!F10+ISU!F11+ISU!F12+ISU!F13+ISU!F14+ISU!F15+ISU!F16+ISU!F17+ISU!F18+ISU!F19+ISU!F20+ISU!F21</f>
        <v>45580000</v>
      </c>
      <c r="M9" s="419">
        <f t="shared" ref="M9:M16" si="5">L9/$L$16</f>
        <v>0.5572859813108848</v>
      </c>
    </row>
    <row r="10" spans="1:13" ht="31.8" thickBot="1" x14ac:dyDescent="0.35">
      <c r="A10" s="425" t="s">
        <v>431</v>
      </c>
      <c r="B10" s="427">
        <v>0</v>
      </c>
      <c r="C10" s="410">
        <f t="shared" si="0"/>
        <v>0</v>
      </c>
      <c r="D10" s="393">
        <v>0</v>
      </c>
      <c r="E10" s="411">
        <f t="shared" si="1"/>
        <v>0</v>
      </c>
      <c r="F10" s="428">
        <v>0</v>
      </c>
      <c r="G10" s="413">
        <f t="shared" si="2"/>
        <v>0</v>
      </c>
      <c r="H10" s="429">
        <f>BOS_SR!F14</f>
        <v>2335000</v>
      </c>
      <c r="I10" s="415">
        <f t="shared" si="3"/>
        <v>0.24277169375624474</v>
      </c>
      <c r="J10" s="423"/>
      <c r="K10" s="417"/>
      <c r="L10" s="430"/>
      <c r="M10" s="419"/>
    </row>
    <row r="11" spans="1:13" ht="16.2" thickBot="1" x14ac:dyDescent="0.35">
      <c r="A11" s="431" t="s">
        <v>284</v>
      </c>
      <c r="B11" s="427">
        <v>0</v>
      </c>
      <c r="C11" s="410">
        <f t="shared" si="0"/>
        <v>0</v>
      </c>
      <c r="D11" s="393">
        <v>0</v>
      </c>
      <c r="E11" s="411">
        <f t="shared" si="1"/>
        <v>0</v>
      </c>
      <c r="F11" s="428">
        <v>0</v>
      </c>
      <c r="G11" s="413">
        <f t="shared" si="2"/>
        <v>0</v>
      </c>
      <c r="H11" s="429">
        <f>BOS_SR!F6</f>
        <v>990000</v>
      </c>
      <c r="I11" s="415">
        <f t="shared" si="3"/>
        <v>0.10293103932277614</v>
      </c>
      <c r="J11" s="423"/>
      <c r="K11" s="417"/>
      <c r="L11" s="430"/>
      <c r="M11" s="419"/>
    </row>
    <row r="12" spans="1:13" ht="16.2" thickBot="1" x14ac:dyDescent="0.35">
      <c r="A12" s="431" t="s">
        <v>289</v>
      </c>
      <c r="B12" s="427">
        <v>0</v>
      </c>
      <c r="C12" s="410">
        <f t="shared" si="0"/>
        <v>0</v>
      </c>
      <c r="D12" s="393">
        <v>0</v>
      </c>
      <c r="E12" s="411">
        <f t="shared" si="1"/>
        <v>0</v>
      </c>
      <c r="F12" s="428">
        <v>0</v>
      </c>
      <c r="G12" s="413">
        <f t="shared" si="2"/>
        <v>0</v>
      </c>
      <c r="H12" s="429">
        <v>0</v>
      </c>
      <c r="I12" s="415">
        <f t="shared" si="3"/>
        <v>0</v>
      </c>
      <c r="J12" s="423"/>
      <c r="K12" s="417"/>
      <c r="L12" s="430"/>
      <c r="M12" s="419"/>
    </row>
    <row r="13" spans="1:13" ht="16.2" thickBot="1" x14ac:dyDescent="0.35">
      <c r="A13" s="431" t="s">
        <v>297</v>
      </c>
      <c r="B13" s="427">
        <v>0</v>
      </c>
      <c r="C13" s="410">
        <f t="shared" si="0"/>
        <v>0</v>
      </c>
      <c r="D13" s="393">
        <v>0</v>
      </c>
      <c r="E13" s="411">
        <f t="shared" si="1"/>
        <v>0</v>
      </c>
      <c r="F13" s="428">
        <v>0</v>
      </c>
      <c r="G13" s="413">
        <f t="shared" si="2"/>
        <v>0</v>
      </c>
      <c r="H13" s="429">
        <f>BOS_SR!F9</f>
        <v>5328500</v>
      </c>
      <c r="I13" s="415">
        <f t="shared" si="3"/>
        <v>0.55400812427415425</v>
      </c>
      <c r="J13" s="423"/>
      <c r="K13" s="417"/>
      <c r="L13" s="430"/>
      <c r="M13" s="419"/>
    </row>
    <row r="14" spans="1:13" ht="31.8" thickBot="1" x14ac:dyDescent="0.35">
      <c r="A14" s="432" t="s">
        <v>301</v>
      </c>
      <c r="B14" s="427">
        <v>0</v>
      </c>
      <c r="C14" s="410">
        <f t="shared" si="0"/>
        <v>0</v>
      </c>
      <c r="D14" s="393">
        <v>0</v>
      </c>
      <c r="E14" s="411">
        <f t="shared" si="1"/>
        <v>0</v>
      </c>
      <c r="F14" s="428">
        <v>0</v>
      </c>
      <c r="G14" s="413">
        <f t="shared" si="2"/>
        <v>0</v>
      </c>
      <c r="H14" s="429">
        <f>BOS_SR!F16</f>
        <v>776000</v>
      </c>
      <c r="I14" s="415">
        <f t="shared" si="3"/>
        <v>8.0681299509569981E-2</v>
      </c>
      <c r="J14" s="423"/>
      <c r="K14" s="417"/>
      <c r="L14" s="430"/>
      <c r="M14" s="419"/>
    </row>
    <row r="15" spans="1:13" ht="16.2" thickBot="1" x14ac:dyDescent="0.35">
      <c r="A15" s="433" t="s">
        <v>432</v>
      </c>
      <c r="B15" s="434">
        <f>PSPA!F33</f>
        <v>50000000</v>
      </c>
      <c r="C15" s="410">
        <f t="shared" si="0"/>
        <v>1.5085859783116854E-2</v>
      </c>
      <c r="D15" s="393">
        <v>0</v>
      </c>
      <c r="E15" s="411">
        <f t="shared" si="1"/>
        <v>0</v>
      </c>
      <c r="F15" s="435">
        <f>'Urban Unit'!F20</f>
        <v>4463274</v>
      </c>
      <c r="G15" s="413">
        <f t="shared" si="2"/>
        <v>1.9607843137254902E-2</v>
      </c>
      <c r="H15" s="436">
        <f>BOS_SR!F23</f>
        <v>188590</v>
      </c>
      <c r="I15" s="415">
        <f t="shared" si="3"/>
        <v>1.9607843137254902E-2</v>
      </c>
      <c r="J15" s="437"/>
      <c r="K15" s="417"/>
      <c r="L15" s="438"/>
      <c r="M15" s="419"/>
    </row>
    <row r="16" spans="1:13" ht="16.2" thickBot="1" x14ac:dyDescent="0.35">
      <c r="A16" s="439" t="s">
        <v>7</v>
      </c>
      <c r="B16" s="440">
        <f>SUM(B4:B15)</f>
        <v>3314361973.3199997</v>
      </c>
      <c r="C16" s="410">
        <f t="shared" si="0"/>
        <v>1</v>
      </c>
      <c r="D16" s="394">
        <f>SUM(D4:D15)</f>
        <v>635655234</v>
      </c>
      <c r="E16" s="411">
        <f t="shared" si="1"/>
        <v>1</v>
      </c>
      <c r="F16" s="441">
        <f>SUM(F4:F15)</f>
        <v>227626974</v>
      </c>
      <c r="G16" s="413">
        <f t="shared" si="2"/>
        <v>1</v>
      </c>
      <c r="H16" s="442">
        <f>SUM(H4:H15)</f>
        <v>9618090</v>
      </c>
      <c r="I16" s="415">
        <f t="shared" si="3"/>
        <v>1</v>
      </c>
      <c r="J16" s="443">
        <f>SUM(J4:J15)</f>
        <v>800000000</v>
      </c>
      <c r="K16" s="417">
        <f t="shared" si="4"/>
        <v>1</v>
      </c>
      <c r="L16" s="444">
        <f>SUM(L4:L15)</f>
        <v>81789245.609200001</v>
      </c>
      <c r="M16" s="419">
        <f t="shared" si="5"/>
        <v>1</v>
      </c>
    </row>
  </sheetData>
  <mergeCells count="8">
    <mergeCell ref="L1:M1"/>
    <mergeCell ref="B3:M3"/>
    <mergeCell ref="B1:C1"/>
    <mergeCell ref="J1:K1"/>
    <mergeCell ref="A1:A2"/>
    <mergeCell ref="D1:E1"/>
    <mergeCell ref="F1:G1"/>
    <mergeCell ref="H1:I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22C374-245F-4653-9DFA-DD18B107CE7E}">
  <dimension ref="A1:U20"/>
  <sheetViews>
    <sheetView topLeftCell="C1" workbookViewId="0">
      <selection activeCell="G25" sqref="G25"/>
    </sheetView>
  </sheetViews>
  <sheetFormatPr defaultRowHeight="14.4" x14ac:dyDescent="0.3"/>
  <cols>
    <col min="1" max="1" width="5.44140625" bestFit="1" customWidth="1"/>
    <col min="2" max="2" width="13.109375" bestFit="1" customWidth="1"/>
    <col min="3" max="3" width="56.6640625" bestFit="1" customWidth="1"/>
    <col min="4" max="4" width="12.5546875" bestFit="1" customWidth="1"/>
    <col min="5" max="5" width="15.44140625" bestFit="1" customWidth="1"/>
    <col min="6" max="6" width="11.44140625" bestFit="1" customWidth="1"/>
    <col min="7" max="7" width="13.77734375" bestFit="1" customWidth="1"/>
    <col min="8" max="8" width="22.6640625" bestFit="1" customWidth="1"/>
    <col min="9" max="9" width="15.44140625" bestFit="1" customWidth="1"/>
    <col min="10" max="10" width="10" bestFit="1" customWidth="1"/>
    <col min="11" max="11" width="7" bestFit="1" customWidth="1"/>
    <col min="13" max="13" width="11.88671875" bestFit="1" customWidth="1"/>
    <col min="14" max="14" width="22.6640625" bestFit="1" customWidth="1"/>
    <col min="16" max="16" width="10" bestFit="1" customWidth="1"/>
  </cols>
  <sheetData>
    <row r="1" spans="1:21" x14ac:dyDescent="0.3">
      <c r="A1" s="361"/>
      <c r="B1" s="361"/>
      <c r="C1" s="361"/>
      <c r="D1" s="448" t="s">
        <v>405</v>
      </c>
      <c r="E1" s="448"/>
      <c r="F1" s="448"/>
      <c r="G1" s="448"/>
      <c r="H1" s="448"/>
      <c r="I1" s="448"/>
      <c r="J1" s="449" t="s">
        <v>406</v>
      </c>
      <c r="K1" s="449"/>
      <c r="L1" s="449"/>
      <c r="M1" s="449"/>
      <c r="N1" s="449"/>
      <c r="O1" s="449"/>
      <c r="P1" s="450" t="s">
        <v>404</v>
      </c>
      <c r="Q1" s="450"/>
      <c r="R1" s="450"/>
      <c r="S1" s="450"/>
      <c r="T1" s="450"/>
      <c r="U1" s="450"/>
    </row>
    <row r="2" spans="1:21" ht="15.6" x14ac:dyDescent="0.3">
      <c r="A2" s="84" t="s">
        <v>152</v>
      </c>
      <c r="B2" s="84" t="s">
        <v>2</v>
      </c>
      <c r="C2" s="84" t="s">
        <v>153</v>
      </c>
      <c r="D2" s="85" t="s">
        <v>154</v>
      </c>
      <c r="E2" s="85" t="s">
        <v>155</v>
      </c>
      <c r="F2" s="85" t="s">
        <v>147</v>
      </c>
      <c r="G2" s="85" t="s">
        <v>156</v>
      </c>
      <c r="H2" s="85" t="s">
        <v>157</v>
      </c>
      <c r="I2" s="85" t="s">
        <v>158</v>
      </c>
      <c r="J2" s="85" t="s">
        <v>154</v>
      </c>
      <c r="K2" s="85" t="s">
        <v>155</v>
      </c>
      <c r="L2" s="85" t="s">
        <v>147</v>
      </c>
      <c r="M2" s="85" t="s">
        <v>156</v>
      </c>
      <c r="N2" s="85" t="s">
        <v>157</v>
      </c>
      <c r="O2" s="85" t="s">
        <v>158</v>
      </c>
      <c r="P2" s="85" t="s">
        <v>154</v>
      </c>
      <c r="Q2" s="85" t="s">
        <v>155</v>
      </c>
      <c r="R2" s="85" t="s">
        <v>147</v>
      </c>
      <c r="S2" s="85" t="s">
        <v>156</v>
      </c>
      <c r="T2" s="85" t="s">
        <v>157</v>
      </c>
      <c r="U2" s="85" t="s">
        <v>158</v>
      </c>
    </row>
    <row r="3" spans="1:21" ht="15.6" x14ac:dyDescent="0.3">
      <c r="A3" s="84"/>
      <c r="B3" s="86" t="s">
        <v>159</v>
      </c>
      <c r="C3" s="87" t="s">
        <v>160</v>
      </c>
      <c r="D3" s="85"/>
      <c r="E3" s="85"/>
      <c r="F3" s="88"/>
      <c r="G3" s="85"/>
      <c r="H3" s="85"/>
      <c r="I3" s="89"/>
      <c r="P3">
        <f>PITB_1!G6</f>
        <v>130921434</v>
      </c>
    </row>
    <row r="4" spans="1:21" ht="15.6" x14ac:dyDescent="0.3">
      <c r="A4" s="87"/>
      <c r="B4" s="86" t="s">
        <v>161</v>
      </c>
      <c r="C4" s="87" t="s">
        <v>162</v>
      </c>
      <c r="D4" s="89"/>
      <c r="E4" s="89"/>
      <c r="F4" s="89"/>
      <c r="G4" s="89"/>
      <c r="H4" s="89"/>
      <c r="I4" s="89"/>
    </row>
    <row r="5" spans="1:21" ht="15.6" x14ac:dyDescent="0.3">
      <c r="A5" s="87"/>
      <c r="B5" s="90" t="s">
        <v>163</v>
      </c>
      <c r="C5" s="91" t="s">
        <v>164</v>
      </c>
      <c r="D5" s="89"/>
      <c r="E5" s="92"/>
      <c r="F5" s="89"/>
      <c r="G5" s="89"/>
      <c r="H5" s="89"/>
      <c r="I5" s="89"/>
    </row>
    <row r="6" spans="1:21" ht="15.6" x14ac:dyDescent="0.3">
      <c r="A6" s="87"/>
      <c r="B6" s="90" t="s">
        <v>165</v>
      </c>
      <c r="C6" s="93" t="s">
        <v>166</v>
      </c>
      <c r="D6" s="89"/>
      <c r="E6" s="89"/>
      <c r="F6" s="89"/>
      <c r="G6" s="89"/>
      <c r="H6" s="94"/>
      <c r="I6" s="89"/>
    </row>
    <row r="7" spans="1:21" ht="15.6" x14ac:dyDescent="0.3">
      <c r="A7" s="87"/>
      <c r="B7" s="86" t="s">
        <v>167</v>
      </c>
      <c r="C7" s="87" t="s">
        <v>168</v>
      </c>
      <c r="D7" s="89"/>
      <c r="E7" s="89"/>
      <c r="F7" s="89"/>
      <c r="G7" s="89"/>
      <c r="H7" s="89"/>
      <c r="I7" s="89"/>
    </row>
    <row r="8" spans="1:21" ht="15.6" x14ac:dyDescent="0.3">
      <c r="A8" s="87"/>
      <c r="B8" s="86" t="s">
        <v>11</v>
      </c>
      <c r="C8" s="95" t="s">
        <v>12</v>
      </c>
      <c r="D8" s="96"/>
      <c r="E8" s="89"/>
      <c r="F8" s="89"/>
      <c r="G8" s="89"/>
      <c r="H8" s="89"/>
      <c r="I8" s="89"/>
    </row>
    <row r="9" spans="1:21" ht="15.6" x14ac:dyDescent="0.3">
      <c r="A9" s="87"/>
      <c r="B9" s="90" t="s">
        <v>34</v>
      </c>
      <c r="C9" s="93" t="s">
        <v>169</v>
      </c>
      <c r="D9" s="89"/>
      <c r="E9" s="94"/>
      <c r="F9" s="89"/>
      <c r="G9" s="89"/>
      <c r="H9" s="89"/>
      <c r="I9" s="89"/>
    </row>
    <row r="10" spans="1:21" ht="15.6" x14ac:dyDescent="0.3">
      <c r="A10" s="87"/>
      <c r="B10" s="86" t="s">
        <v>22</v>
      </c>
      <c r="C10" s="87" t="s">
        <v>170</v>
      </c>
      <c r="D10" s="89"/>
      <c r="E10" s="89"/>
      <c r="F10" s="89"/>
      <c r="G10" s="89"/>
      <c r="H10" s="89"/>
      <c r="I10" s="89"/>
    </row>
    <row r="11" spans="1:21" ht="15.6" x14ac:dyDescent="0.3">
      <c r="A11" s="87"/>
      <c r="B11" s="86" t="s">
        <v>171</v>
      </c>
      <c r="C11" s="87" t="s">
        <v>172</v>
      </c>
      <c r="D11" s="89"/>
      <c r="E11" s="89"/>
      <c r="F11" s="89"/>
      <c r="G11" s="89"/>
      <c r="H11" s="89"/>
      <c r="I11" s="89"/>
    </row>
    <row r="12" spans="1:21" ht="15.6" x14ac:dyDescent="0.3">
      <c r="A12" s="87"/>
      <c r="B12" s="86" t="s">
        <v>28</v>
      </c>
      <c r="C12" s="87" t="s">
        <v>29</v>
      </c>
      <c r="D12" s="89"/>
      <c r="E12" s="89"/>
      <c r="F12" s="89"/>
      <c r="G12" s="89"/>
      <c r="H12" s="89"/>
      <c r="I12" s="89"/>
    </row>
    <row r="13" spans="1:21" ht="15.6" x14ac:dyDescent="0.3">
      <c r="A13" s="87"/>
      <c r="B13" s="86" t="s">
        <v>24</v>
      </c>
      <c r="C13" s="87" t="s">
        <v>173</v>
      </c>
      <c r="D13" s="89"/>
      <c r="E13" s="89"/>
      <c r="F13" s="89"/>
      <c r="G13" s="89"/>
      <c r="H13" s="89"/>
      <c r="I13" s="89"/>
    </row>
    <row r="14" spans="1:21" ht="15.6" x14ac:dyDescent="0.3">
      <c r="A14" s="87"/>
      <c r="B14" s="90" t="s">
        <v>30</v>
      </c>
      <c r="C14" s="93" t="s">
        <v>174</v>
      </c>
      <c r="D14" s="89"/>
      <c r="E14" s="92"/>
      <c r="F14" s="89"/>
      <c r="G14" s="89"/>
      <c r="H14" s="89"/>
      <c r="I14" s="89"/>
    </row>
    <row r="15" spans="1:21" ht="15.6" x14ac:dyDescent="0.3">
      <c r="A15" s="87"/>
      <c r="B15" s="90" t="s">
        <v>175</v>
      </c>
      <c r="C15" s="93" t="s">
        <v>176</v>
      </c>
      <c r="D15" s="89"/>
      <c r="E15" s="89"/>
      <c r="F15" s="89"/>
      <c r="G15" s="89"/>
      <c r="H15" s="89"/>
      <c r="I15" s="89"/>
    </row>
    <row r="16" spans="1:21" ht="15.6" x14ac:dyDescent="0.3">
      <c r="A16" s="87"/>
      <c r="B16" s="86" t="s">
        <v>16</v>
      </c>
      <c r="C16" s="95" t="s">
        <v>17</v>
      </c>
      <c r="D16" s="89"/>
      <c r="E16" s="89"/>
      <c r="F16" s="89"/>
      <c r="G16" s="89"/>
      <c r="H16" s="89"/>
      <c r="I16" s="89"/>
    </row>
    <row r="17" spans="1:9" ht="15.6" x14ac:dyDescent="0.3">
      <c r="A17" s="87"/>
      <c r="B17" s="90" t="s">
        <v>16</v>
      </c>
      <c r="C17" s="93" t="s">
        <v>177</v>
      </c>
      <c r="D17" s="89"/>
      <c r="E17" s="89"/>
      <c r="F17" s="89"/>
      <c r="G17" s="89"/>
      <c r="H17" s="89"/>
      <c r="I17" s="89"/>
    </row>
    <row r="18" spans="1:9" ht="15.6" x14ac:dyDescent="0.3">
      <c r="A18" s="87"/>
      <c r="B18" s="86" t="s">
        <v>51</v>
      </c>
      <c r="C18" s="87" t="s">
        <v>178</v>
      </c>
      <c r="D18" s="89"/>
      <c r="E18" s="89"/>
      <c r="F18" s="89"/>
      <c r="G18" s="89"/>
      <c r="H18" s="89"/>
      <c r="I18" s="89"/>
    </row>
    <row r="19" spans="1:9" ht="15.6" x14ac:dyDescent="0.3">
      <c r="A19" s="87"/>
      <c r="B19" s="90" t="s">
        <v>179</v>
      </c>
      <c r="C19" s="91" t="s">
        <v>180</v>
      </c>
      <c r="D19" s="89"/>
      <c r="E19" s="89"/>
      <c r="F19" s="89"/>
      <c r="G19" s="89"/>
      <c r="H19" s="89"/>
      <c r="I19" s="89"/>
    </row>
    <row r="20" spans="1:9" ht="15.6" x14ac:dyDescent="0.3">
      <c r="A20" s="87"/>
      <c r="B20" s="87"/>
      <c r="C20" s="87" t="s">
        <v>7</v>
      </c>
      <c r="D20" s="89"/>
      <c r="E20" s="89"/>
      <c r="F20" s="89"/>
      <c r="G20" s="89"/>
      <c r="H20" s="89"/>
      <c r="I20" s="89"/>
    </row>
  </sheetData>
  <mergeCells count="3">
    <mergeCell ref="D1:I1"/>
    <mergeCell ref="J1:O1"/>
    <mergeCell ref="P1:U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0BA943-4A83-4113-86E0-A6825E66862A}">
  <dimension ref="A1:L48"/>
  <sheetViews>
    <sheetView workbookViewId="0">
      <selection activeCell="N11" sqref="N11"/>
    </sheetView>
  </sheetViews>
  <sheetFormatPr defaultRowHeight="15.6" x14ac:dyDescent="0.3"/>
  <cols>
    <col min="1" max="2" width="9.109375" style="116" bestFit="1" customWidth="1"/>
    <col min="3" max="3" width="20.77734375" style="116" bestFit="1" customWidth="1"/>
    <col min="4" max="4" width="45.109375" style="116" bestFit="1" customWidth="1"/>
    <col min="5" max="5" width="15.44140625" style="116" hidden="1" customWidth="1"/>
    <col min="6" max="6" width="14.88671875" style="116" bestFit="1" customWidth="1"/>
    <col min="7" max="7" width="14.5546875" style="116" bestFit="1" customWidth="1"/>
    <col min="8" max="8" width="11.21875" style="116" bestFit="1" customWidth="1"/>
    <col min="9" max="9" width="23.88671875" style="116" hidden="1" customWidth="1"/>
    <col min="10" max="10" width="15.44140625" style="116" hidden="1" customWidth="1"/>
    <col min="11" max="11" width="34.33203125" style="116" hidden="1" customWidth="1"/>
    <col min="12" max="12" width="13.77734375" style="116" hidden="1" customWidth="1"/>
    <col min="13" max="16384" width="8.88671875" style="116"/>
  </cols>
  <sheetData>
    <row r="1" spans="1:12" ht="16.2" thickBot="1" x14ac:dyDescent="0.35"/>
    <row r="2" spans="1:12" ht="31.2" x14ac:dyDescent="0.3">
      <c r="A2" s="346" t="s">
        <v>339</v>
      </c>
      <c r="B2" s="347" t="s">
        <v>2</v>
      </c>
      <c r="C2" s="348" t="s">
        <v>340</v>
      </c>
      <c r="D2" s="347" t="s">
        <v>3</v>
      </c>
      <c r="E2" s="349" t="s">
        <v>314</v>
      </c>
      <c r="F2" s="349" t="s">
        <v>387</v>
      </c>
    </row>
    <row r="3" spans="1:12" x14ac:dyDescent="0.3">
      <c r="A3" s="350">
        <v>1</v>
      </c>
      <c r="B3" s="90" t="s">
        <v>165</v>
      </c>
      <c r="C3" s="93" t="s">
        <v>166</v>
      </c>
      <c r="D3" s="134" t="s">
        <v>341</v>
      </c>
      <c r="E3" s="89">
        <f>4500*50000*5</f>
        <v>1125000000</v>
      </c>
      <c r="F3" s="357">
        <f>E3/150*104</f>
        <v>780000000</v>
      </c>
      <c r="G3" s="332"/>
    </row>
    <row r="4" spans="1:12" x14ac:dyDescent="0.3">
      <c r="A4" s="350">
        <v>2</v>
      </c>
      <c r="B4" s="90" t="s">
        <v>30</v>
      </c>
      <c r="C4" s="87" t="s">
        <v>342</v>
      </c>
      <c r="D4" s="87" t="s">
        <v>343</v>
      </c>
      <c r="E4" s="89">
        <f>(2000+2000)*5000</f>
        <v>20000000</v>
      </c>
      <c r="F4" s="358">
        <f>(2000+2000)*5000</f>
        <v>20000000</v>
      </c>
    </row>
    <row r="5" spans="1:12" ht="16.2" thickBot="1" x14ac:dyDescent="0.35">
      <c r="A5" s="351"/>
      <c r="B5" s="352"/>
      <c r="C5" s="353" t="s">
        <v>7</v>
      </c>
      <c r="D5" s="352"/>
      <c r="E5" s="359">
        <f>SUM(E3:E4)</f>
        <v>1145000000</v>
      </c>
      <c r="F5" s="360">
        <f>SUM(F3:F4)</f>
        <v>800000000</v>
      </c>
    </row>
    <row r="7" spans="1:12" x14ac:dyDescent="0.3">
      <c r="B7" s="333" t="s">
        <v>137</v>
      </c>
      <c r="C7" s="333" t="s">
        <v>344</v>
      </c>
      <c r="D7" s="333" t="s">
        <v>345</v>
      </c>
      <c r="E7" s="333" t="s">
        <v>346</v>
      </c>
      <c r="F7" s="354" t="s">
        <v>387</v>
      </c>
    </row>
    <row r="8" spans="1:12" ht="16.2" thickBot="1" x14ac:dyDescent="0.35">
      <c r="B8" s="334">
        <v>1</v>
      </c>
      <c r="C8" s="335" t="s">
        <v>347</v>
      </c>
      <c r="D8" s="336">
        <v>81</v>
      </c>
      <c r="E8" s="337">
        <f t="shared" ref="E8:E47" si="0">D8/$D$48*$E$3</f>
        <v>20250000</v>
      </c>
      <c r="F8" s="355">
        <f>D8/$D$48*$F$3</f>
        <v>14039999.999999998</v>
      </c>
    </row>
    <row r="9" spans="1:12" ht="16.2" thickBot="1" x14ac:dyDescent="0.35">
      <c r="B9" s="334">
        <v>2</v>
      </c>
      <c r="C9" s="335" t="s">
        <v>348</v>
      </c>
      <c r="D9" s="336">
        <v>149</v>
      </c>
      <c r="E9" s="337">
        <f t="shared" si="0"/>
        <v>37250000</v>
      </c>
      <c r="F9" s="355">
        <f t="shared" ref="F9:F47" si="1">D9/$D$48*$F$3</f>
        <v>25826666.666666668</v>
      </c>
      <c r="I9" s="382" t="s">
        <v>409</v>
      </c>
      <c r="J9" s="382" t="s">
        <v>435</v>
      </c>
      <c r="K9" s="382" t="s">
        <v>436</v>
      </c>
      <c r="L9" s="382" t="s">
        <v>434</v>
      </c>
    </row>
    <row r="10" spans="1:12" ht="16.2" thickBot="1" x14ac:dyDescent="0.35">
      <c r="B10" s="334">
        <v>3</v>
      </c>
      <c r="C10" s="335" t="s">
        <v>349</v>
      </c>
      <c r="D10" s="336">
        <v>119</v>
      </c>
      <c r="E10" s="337">
        <f t="shared" si="0"/>
        <v>29750000</v>
      </c>
      <c r="F10" s="355">
        <f t="shared" si="1"/>
        <v>20626666.666666668</v>
      </c>
      <c r="I10" s="383" t="s">
        <v>411</v>
      </c>
      <c r="J10" s="540">
        <v>1125000000</v>
      </c>
      <c r="K10" s="523">
        <f>F3</f>
        <v>780000000</v>
      </c>
      <c r="L10" s="388">
        <f>K10-J10</f>
        <v>-345000000</v>
      </c>
    </row>
    <row r="11" spans="1:12" ht="16.2" thickBot="1" x14ac:dyDescent="0.35">
      <c r="B11" s="334">
        <v>4</v>
      </c>
      <c r="C11" s="335" t="s">
        <v>350</v>
      </c>
      <c r="D11" s="336">
        <v>79</v>
      </c>
      <c r="E11" s="337">
        <f t="shared" si="0"/>
        <v>19750000</v>
      </c>
      <c r="F11" s="355">
        <f t="shared" si="1"/>
        <v>13693333.333333334</v>
      </c>
      <c r="G11" s="331"/>
      <c r="H11" s="331"/>
      <c r="I11" s="539" t="s">
        <v>342</v>
      </c>
      <c r="J11" s="540">
        <v>20000000</v>
      </c>
      <c r="K11" s="523">
        <f>F4</f>
        <v>20000000</v>
      </c>
      <c r="L11" s="388">
        <f t="shared" ref="L11:L12" si="2">K11-J11</f>
        <v>0</v>
      </c>
    </row>
    <row r="12" spans="1:12" ht="16.2" thickBot="1" x14ac:dyDescent="0.35">
      <c r="B12" s="334">
        <v>5</v>
      </c>
      <c r="C12" s="335" t="s">
        <v>351</v>
      </c>
      <c r="D12" s="336">
        <v>55</v>
      </c>
      <c r="E12" s="337">
        <f t="shared" si="0"/>
        <v>13750000</v>
      </c>
      <c r="F12" s="355">
        <f t="shared" si="1"/>
        <v>9533333.333333334</v>
      </c>
      <c r="G12" s="331"/>
      <c r="H12" s="331"/>
      <c r="I12" s="384" t="s">
        <v>7</v>
      </c>
      <c r="J12" s="541">
        <v>1145000000</v>
      </c>
      <c r="K12" s="523">
        <f>K10+K11</f>
        <v>800000000</v>
      </c>
      <c r="L12" s="388">
        <f t="shared" si="2"/>
        <v>-345000000</v>
      </c>
    </row>
    <row r="13" spans="1:12" ht="16.2" thickBot="1" x14ac:dyDescent="0.35">
      <c r="B13" s="334">
        <v>6</v>
      </c>
      <c r="C13" s="335" t="s">
        <v>352</v>
      </c>
      <c r="D13" s="336">
        <v>48</v>
      </c>
      <c r="E13" s="337">
        <f t="shared" si="0"/>
        <v>12000000</v>
      </c>
      <c r="F13" s="355">
        <f t="shared" si="1"/>
        <v>8320000</v>
      </c>
      <c r="G13" s="331"/>
      <c r="H13" s="331"/>
      <c r="I13" s="384"/>
      <c r="J13" s="388"/>
      <c r="K13" s="523"/>
      <c r="L13" s="388"/>
    </row>
    <row r="14" spans="1:12" ht="16.2" thickBot="1" x14ac:dyDescent="0.35">
      <c r="B14" s="334">
        <v>7</v>
      </c>
      <c r="C14" s="335" t="s">
        <v>353</v>
      </c>
      <c r="D14" s="336">
        <v>127</v>
      </c>
      <c r="E14" s="337">
        <f t="shared" si="0"/>
        <v>31750000</v>
      </c>
      <c r="F14" s="355">
        <f t="shared" si="1"/>
        <v>22013333.333333332</v>
      </c>
      <c r="G14" s="331"/>
      <c r="H14" s="331"/>
      <c r="I14" s="384"/>
      <c r="J14" s="388"/>
      <c r="K14" s="523"/>
      <c r="L14" s="388"/>
    </row>
    <row r="15" spans="1:12" ht="16.2" thickBot="1" x14ac:dyDescent="0.35">
      <c r="B15" s="334">
        <v>8</v>
      </c>
      <c r="C15" s="335" t="s">
        <v>354</v>
      </c>
      <c r="D15" s="336">
        <v>367</v>
      </c>
      <c r="E15" s="337">
        <f t="shared" si="0"/>
        <v>91750000</v>
      </c>
      <c r="F15" s="355">
        <f t="shared" si="1"/>
        <v>63613333.333333336</v>
      </c>
      <c r="I15" s="384"/>
      <c r="J15" s="388"/>
      <c r="K15" s="388"/>
      <c r="L15" s="388"/>
    </row>
    <row r="16" spans="1:12" ht="16.2" thickBot="1" x14ac:dyDescent="0.35">
      <c r="B16" s="334">
        <v>9</v>
      </c>
      <c r="C16" s="335" t="s">
        <v>355</v>
      </c>
      <c r="D16" s="336">
        <v>152</v>
      </c>
      <c r="E16" s="337">
        <f t="shared" si="0"/>
        <v>38000000</v>
      </c>
      <c r="F16" s="355">
        <f t="shared" si="1"/>
        <v>26346666.666666664</v>
      </c>
      <c r="I16" s="386"/>
      <c r="J16" s="388"/>
      <c r="K16" s="388"/>
      <c r="L16" s="388"/>
    </row>
    <row r="17" spans="2:6" x14ac:dyDescent="0.3">
      <c r="B17" s="334">
        <v>10</v>
      </c>
      <c r="C17" s="335" t="s">
        <v>356</v>
      </c>
      <c r="D17" s="336">
        <v>139</v>
      </c>
      <c r="E17" s="337">
        <f t="shared" si="0"/>
        <v>34750000</v>
      </c>
      <c r="F17" s="355">
        <f t="shared" si="1"/>
        <v>24093333.333333332</v>
      </c>
    </row>
    <row r="18" spans="2:6" x14ac:dyDescent="0.3">
      <c r="B18" s="334">
        <v>11</v>
      </c>
      <c r="C18" s="335" t="s">
        <v>357</v>
      </c>
      <c r="D18" s="336">
        <v>56</v>
      </c>
      <c r="E18" s="337">
        <f t="shared" si="0"/>
        <v>14000000</v>
      </c>
      <c r="F18" s="355">
        <f t="shared" si="1"/>
        <v>9706666.666666666</v>
      </c>
    </row>
    <row r="19" spans="2:6" x14ac:dyDescent="0.3">
      <c r="B19" s="334">
        <v>12</v>
      </c>
      <c r="C19" s="335" t="s">
        <v>358</v>
      </c>
      <c r="D19" s="336">
        <v>106</v>
      </c>
      <c r="E19" s="337">
        <f t="shared" si="0"/>
        <v>26500000</v>
      </c>
      <c r="F19" s="355">
        <f t="shared" si="1"/>
        <v>18373333.333333332</v>
      </c>
    </row>
    <row r="20" spans="2:6" x14ac:dyDescent="0.3">
      <c r="B20" s="334">
        <v>13</v>
      </c>
      <c r="C20" s="335" t="s">
        <v>359</v>
      </c>
      <c r="D20" s="336">
        <v>53</v>
      </c>
      <c r="E20" s="337">
        <f t="shared" si="0"/>
        <v>13250000</v>
      </c>
      <c r="F20" s="355">
        <f t="shared" si="1"/>
        <v>9186666.666666666</v>
      </c>
    </row>
    <row r="21" spans="2:6" x14ac:dyDescent="0.3">
      <c r="B21" s="334">
        <v>14</v>
      </c>
      <c r="C21" s="335" t="s">
        <v>360</v>
      </c>
      <c r="D21" s="336">
        <v>146</v>
      </c>
      <c r="E21" s="337">
        <f t="shared" si="0"/>
        <v>36500000</v>
      </c>
      <c r="F21" s="355">
        <f t="shared" si="1"/>
        <v>25306666.666666664</v>
      </c>
    </row>
    <row r="22" spans="2:6" x14ac:dyDescent="0.3">
      <c r="B22" s="334">
        <v>15</v>
      </c>
      <c r="C22" s="335" t="s">
        <v>361</v>
      </c>
      <c r="D22" s="336">
        <v>158</v>
      </c>
      <c r="E22" s="337">
        <f t="shared" si="0"/>
        <v>39500000</v>
      </c>
      <c r="F22" s="355">
        <f t="shared" si="1"/>
        <v>27386666.666666668</v>
      </c>
    </row>
    <row r="23" spans="2:6" x14ac:dyDescent="0.3">
      <c r="B23" s="334">
        <v>16</v>
      </c>
      <c r="C23" s="335" t="s">
        <v>362</v>
      </c>
      <c r="D23" s="336">
        <v>69</v>
      </c>
      <c r="E23" s="337">
        <f t="shared" si="0"/>
        <v>17250000</v>
      </c>
      <c r="F23" s="355">
        <f t="shared" si="1"/>
        <v>11960000</v>
      </c>
    </row>
    <row r="24" spans="2:6" x14ac:dyDescent="0.3">
      <c r="B24" s="334">
        <v>17</v>
      </c>
      <c r="C24" s="335" t="s">
        <v>363</v>
      </c>
      <c r="D24" s="336">
        <v>43</v>
      </c>
      <c r="E24" s="337">
        <f t="shared" si="0"/>
        <v>10750000</v>
      </c>
      <c r="F24" s="355">
        <f t="shared" si="1"/>
        <v>7453333.333333333</v>
      </c>
    </row>
    <row r="25" spans="2:6" x14ac:dyDescent="0.3">
      <c r="B25" s="334">
        <v>18</v>
      </c>
      <c r="C25" s="335" t="s">
        <v>364</v>
      </c>
      <c r="D25" s="336">
        <v>274</v>
      </c>
      <c r="E25" s="337">
        <f t="shared" si="0"/>
        <v>68500000</v>
      </c>
      <c r="F25" s="355">
        <f t="shared" si="1"/>
        <v>47493333.333333336</v>
      </c>
    </row>
    <row r="26" spans="2:6" x14ac:dyDescent="0.3">
      <c r="B26" s="334">
        <v>19</v>
      </c>
      <c r="C26" s="335" t="s">
        <v>365</v>
      </c>
      <c r="D26" s="336">
        <v>58</v>
      </c>
      <c r="E26" s="337">
        <f t="shared" si="0"/>
        <v>14500000</v>
      </c>
      <c r="F26" s="355">
        <f t="shared" si="1"/>
        <v>10053333.333333334</v>
      </c>
    </row>
    <row r="27" spans="2:6" x14ac:dyDescent="0.3">
      <c r="B27" s="334">
        <v>20</v>
      </c>
      <c r="C27" s="335" t="s">
        <v>366</v>
      </c>
      <c r="D27" s="336">
        <v>75</v>
      </c>
      <c r="E27" s="337">
        <f t="shared" si="0"/>
        <v>18750000</v>
      </c>
      <c r="F27" s="355">
        <f t="shared" si="1"/>
        <v>13000000</v>
      </c>
    </row>
    <row r="28" spans="2:6" x14ac:dyDescent="0.3">
      <c r="B28" s="334">
        <v>21</v>
      </c>
      <c r="C28" s="335" t="s">
        <v>367</v>
      </c>
      <c r="D28" s="336">
        <v>85</v>
      </c>
      <c r="E28" s="337">
        <f t="shared" si="0"/>
        <v>21250000</v>
      </c>
      <c r="F28" s="355">
        <f t="shared" si="1"/>
        <v>14733333.333333334</v>
      </c>
    </row>
    <row r="29" spans="2:6" x14ac:dyDescent="0.3">
      <c r="B29" s="334">
        <v>22</v>
      </c>
      <c r="C29" s="335" t="s">
        <v>368</v>
      </c>
      <c r="D29" s="336">
        <v>67</v>
      </c>
      <c r="E29" s="337">
        <f t="shared" si="0"/>
        <v>16750000</v>
      </c>
      <c r="F29" s="355">
        <f t="shared" si="1"/>
        <v>11613333.333333334</v>
      </c>
    </row>
    <row r="30" spans="2:6" x14ac:dyDescent="0.3">
      <c r="B30" s="334">
        <v>23</v>
      </c>
      <c r="C30" s="335" t="s">
        <v>369</v>
      </c>
      <c r="D30" s="336">
        <v>200</v>
      </c>
      <c r="E30" s="337">
        <f t="shared" si="0"/>
        <v>50000000</v>
      </c>
      <c r="F30" s="355">
        <f t="shared" si="1"/>
        <v>34666666.666666672</v>
      </c>
    </row>
    <row r="31" spans="2:6" x14ac:dyDescent="0.3">
      <c r="B31" s="334">
        <v>24</v>
      </c>
      <c r="C31" s="335" t="s">
        <v>370</v>
      </c>
      <c r="D31" s="336">
        <v>20</v>
      </c>
      <c r="E31" s="337">
        <f t="shared" si="0"/>
        <v>5000000</v>
      </c>
      <c r="F31" s="355">
        <f t="shared" si="1"/>
        <v>3466666.6666666665</v>
      </c>
    </row>
    <row r="32" spans="2:6" x14ac:dyDescent="0.3">
      <c r="B32" s="334">
        <v>25</v>
      </c>
      <c r="C32" s="335" t="s">
        <v>371</v>
      </c>
      <c r="D32" s="336">
        <v>91</v>
      </c>
      <c r="E32" s="337">
        <f t="shared" si="0"/>
        <v>22750000</v>
      </c>
      <c r="F32" s="355">
        <f t="shared" si="1"/>
        <v>15773333.333333332</v>
      </c>
    </row>
    <row r="33" spans="2:6" x14ac:dyDescent="0.3">
      <c r="B33" s="334">
        <v>26</v>
      </c>
      <c r="C33" s="335" t="s">
        <v>372</v>
      </c>
      <c r="D33" s="336">
        <v>75</v>
      </c>
      <c r="E33" s="337">
        <f t="shared" si="0"/>
        <v>18750000</v>
      </c>
      <c r="F33" s="355">
        <f t="shared" si="1"/>
        <v>13000000</v>
      </c>
    </row>
    <row r="34" spans="2:6" x14ac:dyDescent="0.3">
      <c r="B34" s="334">
        <v>27</v>
      </c>
      <c r="C34" s="335" t="s">
        <v>373</v>
      </c>
      <c r="D34" s="336">
        <v>110</v>
      </c>
      <c r="E34" s="337">
        <f t="shared" si="0"/>
        <v>27500000</v>
      </c>
      <c r="F34" s="355">
        <f t="shared" si="1"/>
        <v>19066666.666666668</v>
      </c>
    </row>
    <row r="35" spans="2:6" x14ac:dyDescent="0.3">
      <c r="B35" s="334">
        <v>28</v>
      </c>
      <c r="C35" s="335" t="s">
        <v>374</v>
      </c>
      <c r="D35" s="336">
        <v>156</v>
      </c>
      <c r="E35" s="337">
        <f t="shared" si="0"/>
        <v>39000000</v>
      </c>
      <c r="F35" s="355">
        <f t="shared" si="1"/>
        <v>27040000</v>
      </c>
    </row>
    <row r="36" spans="2:6" x14ac:dyDescent="0.3">
      <c r="B36" s="334">
        <v>29</v>
      </c>
      <c r="C36" s="335" t="s">
        <v>375</v>
      </c>
      <c r="D36" s="336">
        <v>64</v>
      </c>
      <c r="E36" s="337">
        <f t="shared" si="0"/>
        <v>16000000</v>
      </c>
      <c r="F36" s="355">
        <f t="shared" si="1"/>
        <v>11093333.333333334</v>
      </c>
    </row>
    <row r="37" spans="2:6" x14ac:dyDescent="0.3">
      <c r="B37" s="334">
        <v>30</v>
      </c>
      <c r="C37" s="335" t="s">
        <v>376</v>
      </c>
      <c r="D37" s="336">
        <v>163</v>
      </c>
      <c r="E37" s="337">
        <f t="shared" si="0"/>
        <v>40750000</v>
      </c>
      <c r="F37" s="355">
        <f t="shared" si="1"/>
        <v>28253333.333333336</v>
      </c>
    </row>
    <row r="38" spans="2:6" x14ac:dyDescent="0.3">
      <c r="B38" s="334">
        <v>31</v>
      </c>
      <c r="C38" s="335" t="s">
        <v>377</v>
      </c>
      <c r="D38" s="336">
        <v>79</v>
      </c>
      <c r="E38" s="337">
        <f t="shared" si="0"/>
        <v>19750000</v>
      </c>
      <c r="F38" s="355">
        <f t="shared" si="1"/>
        <v>13693333.333333334</v>
      </c>
    </row>
    <row r="39" spans="2:6" x14ac:dyDescent="0.3">
      <c r="B39" s="334">
        <v>32</v>
      </c>
      <c r="C39" s="335" t="s">
        <v>378</v>
      </c>
      <c r="D39" s="336">
        <v>164</v>
      </c>
      <c r="E39" s="337">
        <f t="shared" si="0"/>
        <v>41000000</v>
      </c>
      <c r="F39" s="355">
        <f t="shared" si="1"/>
        <v>28426666.666666668</v>
      </c>
    </row>
    <row r="40" spans="2:6" x14ac:dyDescent="0.3">
      <c r="B40" s="334">
        <v>33</v>
      </c>
      <c r="C40" s="335" t="s">
        <v>379</v>
      </c>
      <c r="D40" s="336">
        <v>109</v>
      </c>
      <c r="E40" s="337">
        <f t="shared" si="0"/>
        <v>27250000</v>
      </c>
      <c r="F40" s="355">
        <f t="shared" si="1"/>
        <v>18893333.333333332</v>
      </c>
    </row>
    <row r="41" spans="2:6" x14ac:dyDescent="0.3">
      <c r="B41" s="334">
        <v>34</v>
      </c>
      <c r="C41" s="335" t="s">
        <v>380</v>
      </c>
      <c r="D41" s="336">
        <v>199</v>
      </c>
      <c r="E41" s="337">
        <f t="shared" si="0"/>
        <v>49750000</v>
      </c>
      <c r="F41" s="355">
        <f t="shared" si="1"/>
        <v>34493333.333333336</v>
      </c>
    </row>
    <row r="42" spans="2:6" x14ac:dyDescent="0.3">
      <c r="B42" s="334">
        <v>35</v>
      </c>
      <c r="C42" s="335" t="s">
        <v>381</v>
      </c>
      <c r="D42" s="336">
        <v>123</v>
      </c>
      <c r="E42" s="337">
        <f t="shared" si="0"/>
        <v>30750000</v>
      </c>
      <c r="F42" s="355">
        <f t="shared" si="1"/>
        <v>21320000</v>
      </c>
    </row>
    <row r="43" spans="2:6" x14ac:dyDescent="0.3">
      <c r="B43" s="334">
        <v>36</v>
      </c>
      <c r="C43" s="335" t="s">
        <v>382</v>
      </c>
      <c r="D43" s="336">
        <v>162</v>
      </c>
      <c r="E43" s="337">
        <f t="shared" si="0"/>
        <v>40500000</v>
      </c>
      <c r="F43" s="355">
        <f t="shared" si="1"/>
        <v>28079999.999999996</v>
      </c>
    </row>
    <row r="44" spans="2:6" x14ac:dyDescent="0.3">
      <c r="B44" s="334">
        <v>37</v>
      </c>
      <c r="C44" s="335" t="s">
        <v>383</v>
      </c>
      <c r="D44" s="336">
        <v>100</v>
      </c>
      <c r="E44" s="337">
        <f t="shared" si="0"/>
        <v>25000000</v>
      </c>
      <c r="F44" s="355">
        <f t="shared" si="1"/>
        <v>17333333.333333336</v>
      </c>
    </row>
    <row r="45" spans="2:6" x14ac:dyDescent="0.3">
      <c r="B45" s="334">
        <v>38</v>
      </c>
      <c r="C45" s="335" t="s">
        <v>384</v>
      </c>
      <c r="D45" s="336">
        <v>29</v>
      </c>
      <c r="E45" s="337">
        <f t="shared" si="0"/>
        <v>7250000</v>
      </c>
      <c r="F45" s="355">
        <f t="shared" si="1"/>
        <v>5026666.666666667</v>
      </c>
    </row>
    <row r="46" spans="2:6" x14ac:dyDescent="0.3">
      <c r="B46" s="334">
        <v>39</v>
      </c>
      <c r="C46" s="335" t="s">
        <v>385</v>
      </c>
      <c r="D46" s="336">
        <v>117</v>
      </c>
      <c r="E46" s="337">
        <f t="shared" si="0"/>
        <v>29250000</v>
      </c>
      <c r="F46" s="355">
        <f t="shared" si="1"/>
        <v>20280000</v>
      </c>
    </row>
    <row r="47" spans="2:6" x14ac:dyDescent="0.3">
      <c r="B47" s="334">
        <v>40</v>
      </c>
      <c r="C47" s="335" t="s">
        <v>386</v>
      </c>
      <c r="D47" s="336">
        <v>33</v>
      </c>
      <c r="E47" s="337">
        <f t="shared" si="0"/>
        <v>8250000</v>
      </c>
      <c r="F47" s="355">
        <f t="shared" si="1"/>
        <v>5720000</v>
      </c>
    </row>
    <row r="48" spans="2:6" x14ac:dyDescent="0.3">
      <c r="B48" s="335"/>
      <c r="C48" s="338" t="s">
        <v>7</v>
      </c>
      <c r="D48" s="333">
        <v>4500</v>
      </c>
      <c r="E48" s="339">
        <v>1125000000</v>
      </c>
      <c r="F48" s="356">
        <f>SUM(F8:F47)</f>
        <v>780000000.00000012</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72D507-F20E-4EEB-B590-8FB31DA66EF3}">
  <dimension ref="A1:I23"/>
  <sheetViews>
    <sheetView workbookViewId="0">
      <selection activeCell="H17" sqref="H17"/>
    </sheetView>
  </sheetViews>
  <sheetFormatPr defaultRowHeight="14.4" x14ac:dyDescent="0.3"/>
  <cols>
    <col min="1" max="1" width="7.44140625" bestFit="1" customWidth="1"/>
    <col min="2" max="2" width="31.5546875" bestFit="1" customWidth="1"/>
    <col min="3" max="3" width="23.109375" bestFit="1" customWidth="1"/>
    <col min="4" max="4" width="27.33203125" bestFit="1" customWidth="1"/>
    <col min="5" max="5" width="27.44140625" bestFit="1" customWidth="1"/>
    <col min="6" max="6" width="15.44140625" bestFit="1" customWidth="1"/>
    <col min="7" max="7" width="13.88671875" bestFit="1" customWidth="1"/>
    <col min="8" max="8" width="63.44140625" bestFit="1" customWidth="1"/>
    <col min="9" max="9" width="25.44140625" bestFit="1" customWidth="1"/>
  </cols>
  <sheetData>
    <row r="1" spans="1:9" ht="16.2" thickBot="1" x14ac:dyDescent="0.35">
      <c r="A1" s="278" t="s">
        <v>1</v>
      </c>
      <c r="B1" s="279" t="s">
        <v>3</v>
      </c>
      <c r="C1" s="280" t="s">
        <v>314</v>
      </c>
      <c r="D1" s="280" t="s">
        <v>184</v>
      </c>
      <c r="E1" s="280" t="s">
        <v>185</v>
      </c>
      <c r="F1" s="279" t="s">
        <v>7</v>
      </c>
    </row>
    <row r="2" spans="1:9" ht="16.2" thickBot="1" x14ac:dyDescent="0.35">
      <c r="A2" s="281">
        <v>1</v>
      </c>
      <c r="B2" s="282" t="s">
        <v>200</v>
      </c>
      <c r="C2" s="389">
        <f>'ISU-HR'!G9</f>
        <v>2987950</v>
      </c>
      <c r="D2" s="389">
        <f>'ISU-HR'!L9</f>
        <v>16113433</v>
      </c>
      <c r="E2" s="389">
        <f>'ISU-HR'!O9</f>
        <v>17107862.609200001</v>
      </c>
      <c r="F2" s="389">
        <f>SUM(C2:E2)</f>
        <v>36209245.609200001</v>
      </c>
    </row>
    <row r="3" spans="1:9" ht="16.2" thickBot="1" x14ac:dyDescent="0.35">
      <c r="A3" s="281">
        <v>2</v>
      </c>
      <c r="B3" s="282" t="s">
        <v>21</v>
      </c>
      <c r="C3" s="389">
        <v>2000000</v>
      </c>
      <c r="D3" s="389">
        <v>500000</v>
      </c>
      <c r="E3" s="389">
        <v>500000</v>
      </c>
      <c r="F3" s="389">
        <f t="shared" ref="F3:F21" si="0">SUM(C3:E3)</f>
        <v>3000000</v>
      </c>
    </row>
    <row r="4" spans="1:9" ht="18.600000000000001" customHeight="1" thickBot="1" x14ac:dyDescent="0.35">
      <c r="A4" s="281">
        <v>3</v>
      </c>
      <c r="B4" s="282" t="s">
        <v>23</v>
      </c>
      <c r="C4" s="389">
        <v>1000000</v>
      </c>
      <c r="D4" s="389">
        <v>1500000</v>
      </c>
      <c r="E4" s="389">
        <v>1500000</v>
      </c>
      <c r="F4" s="389">
        <f t="shared" si="0"/>
        <v>4000000</v>
      </c>
      <c r="H4" s="543" t="s">
        <v>409</v>
      </c>
      <c r="I4" s="552" t="s">
        <v>446</v>
      </c>
    </row>
    <row r="5" spans="1:9" ht="18.600000000000001" customHeight="1" thickBot="1" x14ac:dyDescent="0.35">
      <c r="A5" s="281">
        <v>4</v>
      </c>
      <c r="B5" s="282" t="s">
        <v>25</v>
      </c>
      <c r="C5" s="389">
        <v>500000</v>
      </c>
      <c r="D5" s="389">
        <v>1000000</v>
      </c>
      <c r="E5" s="389">
        <v>1000000</v>
      </c>
      <c r="F5" s="389">
        <f t="shared" si="0"/>
        <v>2500000</v>
      </c>
      <c r="H5" s="544"/>
      <c r="I5" s="553"/>
    </row>
    <row r="6" spans="1:9" ht="18.600000000000001" thickBot="1" x14ac:dyDescent="0.35">
      <c r="A6" s="281">
        <v>5</v>
      </c>
      <c r="B6" s="282" t="s">
        <v>17</v>
      </c>
      <c r="C6" s="389">
        <v>1000000</v>
      </c>
      <c r="D6" s="389">
        <v>2000000</v>
      </c>
      <c r="E6" s="542">
        <v>3000000</v>
      </c>
      <c r="F6" s="389">
        <f t="shared" si="0"/>
        <v>6000000</v>
      </c>
      <c r="H6" s="545" t="s">
        <v>411</v>
      </c>
      <c r="I6" s="546">
        <f>F2</f>
        <v>36209245.609200001</v>
      </c>
    </row>
    <row r="7" spans="1:9" ht="18.600000000000001" thickBot="1" x14ac:dyDescent="0.35">
      <c r="A7" s="281">
        <v>6</v>
      </c>
      <c r="B7" s="282" t="s">
        <v>27</v>
      </c>
      <c r="C7" s="389">
        <v>100000</v>
      </c>
      <c r="D7" s="389">
        <v>200000</v>
      </c>
      <c r="E7" s="389">
        <v>200000</v>
      </c>
      <c r="F7" s="389">
        <f t="shared" si="0"/>
        <v>500000</v>
      </c>
      <c r="H7" s="549" t="s">
        <v>31</v>
      </c>
      <c r="I7" s="546">
        <f>F9</f>
        <v>6200000</v>
      </c>
    </row>
    <row r="8" spans="1:9" ht="18.600000000000001" thickBot="1" x14ac:dyDescent="0.35">
      <c r="A8" s="281">
        <v>7</v>
      </c>
      <c r="B8" s="282" t="s">
        <v>29</v>
      </c>
      <c r="C8" s="389">
        <v>100000</v>
      </c>
      <c r="D8" s="389">
        <v>200000</v>
      </c>
      <c r="E8" s="389">
        <v>250000</v>
      </c>
      <c r="F8" s="389">
        <f t="shared" si="0"/>
        <v>550000</v>
      </c>
      <c r="H8" s="549" t="s">
        <v>23</v>
      </c>
      <c r="I8" s="546">
        <f>F4</f>
        <v>4000000</v>
      </c>
    </row>
    <row r="9" spans="1:9" ht="18.600000000000001" thickBot="1" x14ac:dyDescent="0.35">
      <c r="A9" s="281">
        <v>8</v>
      </c>
      <c r="B9" s="282" t="s">
        <v>31</v>
      </c>
      <c r="C9" s="389">
        <v>2000000</v>
      </c>
      <c r="D9" s="389">
        <v>2000000</v>
      </c>
      <c r="E9" s="389">
        <v>2200000</v>
      </c>
      <c r="F9" s="389">
        <f t="shared" si="0"/>
        <v>6200000</v>
      </c>
      <c r="H9" s="549" t="s">
        <v>17</v>
      </c>
      <c r="I9" s="546">
        <f>F6</f>
        <v>6000000</v>
      </c>
    </row>
    <row r="10" spans="1:9" ht="18.600000000000001" thickBot="1" x14ac:dyDescent="0.4">
      <c r="A10" s="281">
        <v>9</v>
      </c>
      <c r="B10" s="282" t="s">
        <v>315</v>
      </c>
      <c r="C10" s="389">
        <v>500000</v>
      </c>
      <c r="D10" s="389">
        <v>1000000</v>
      </c>
      <c r="E10" s="389">
        <v>1000000</v>
      </c>
      <c r="F10" s="389">
        <f t="shared" si="0"/>
        <v>2500000</v>
      </c>
      <c r="H10" s="549" t="s">
        <v>199</v>
      </c>
      <c r="I10" s="547">
        <f>F21</f>
        <v>9500000</v>
      </c>
    </row>
    <row r="11" spans="1:9" ht="18.600000000000001" thickBot="1" x14ac:dyDescent="0.4">
      <c r="A11" s="281">
        <v>10</v>
      </c>
      <c r="B11" s="282" t="s">
        <v>35</v>
      </c>
      <c r="C11" s="389">
        <v>500000</v>
      </c>
      <c r="D11" s="389">
        <v>500000</v>
      </c>
      <c r="E11" s="389">
        <v>500000</v>
      </c>
      <c r="F11" s="389">
        <f t="shared" si="0"/>
        <v>1500000</v>
      </c>
      <c r="H11" s="548" t="s">
        <v>422</v>
      </c>
      <c r="I11" s="547">
        <f>F22-I6-I7-I8-I9-I10</f>
        <v>19880000</v>
      </c>
    </row>
    <row r="12" spans="1:9" ht="18.600000000000001" thickBot="1" x14ac:dyDescent="0.4">
      <c r="A12" s="281">
        <v>11</v>
      </c>
      <c r="B12" s="282" t="s">
        <v>37</v>
      </c>
      <c r="C12" s="389">
        <v>50000</v>
      </c>
      <c r="D12" s="389">
        <v>100000</v>
      </c>
      <c r="E12" s="389">
        <v>100000</v>
      </c>
      <c r="F12" s="389">
        <f t="shared" si="0"/>
        <v>250000</v>
      </c>
      <c r="H12" s="550" t="s">
        <v>7</v>
      </c>
      <c r="I12" s="551">
        <f>SUM(I6:I11)</f>
        <v>81789245.609200001</v>
      </c>
    </row>
    <row r="13" spans="1:9" ht="16.2" thickBot="1" x14ac:dyDescent="0.35">
      <c r="A13" s="281">
        <v>12</v>
      </c>
      <c r="B13" s="282" t="s">
        <v>39</v>
      </c>
      <c r="C13" s="389">
        <v>150000</v>
      </c>
      <c r="D13" s="389">
        <v>300000</v>
      </c>
      <c r="E13" s="389">
        <v>300000</v>
      </c>
      <c r="F13" s="389">
        <f t="shared" si="0"/>
        <v>750000</v>
      </c>
    </row>
    <row r="14" spans="1:9" ht="16.2" thickBot="1" x14ac:dyDescent="0.35">
      <c r="A14" s="281">
        <v>13</v>
      </c>
      <c r="B14" s="282" t="s">
        <v>41</v>
      </c>
      <c r="C14" s="389">
        <v>50000</v>
      </c>
      <c r="D14" s="389">
        <v>100000</v>
      </c>
      <c r="E14" s="389">
        <v>100000</v>
      </c>
      <c r="F14" s="389">
        <f t="shared" si="0"/>
        <v>250000</v>
      </c>
    </row>
    <row r="15" spans="1:9" ht="16.2" thickBot="1" x14ac:dyDescent="0.35">
      <c r="A15" s="281">
        <v>14</v>
      </c>
      <c r="B15" s="282" t="s">
        <v>43</v>
      </c>
      <c r="C15" s="389">
        <v>50000</v>
      </c>
      <c r="D15" s="389">
        <v>100000</v>
      </c>
      <c r="E15" s="389">
        <v>100000</v>
      </c>
      <c r="F15" s="389">
        <f t="shared" si="0"/>
        <v>250000</v>
      </c>
    </row>
    <row r="16" spans="1:9" ht="16.2" thickBot="1" x14ac:dyDescent="0.35">
      <c r="A16" s="281">
        <v>15</v>
      </c>
      <c r="B16" s="282" t="s">
        <v>193</v>
      </c>
      <c r="C16" s="389">
        <v>150000</v>
      </c>
      <c r="D16" s="389">
        <v>300000</v>
      </c>
      <c r="E16" s="389">
        <v>300000</v>
      </c>
      <c r="F16" s="389">
        <f t="shared" si="0"/>
        <v>750000</v>
      </c>
    </row>
    <row r="17" spans="1:6" ht="16.2" thickBot="1" x14ac:dyDescent="0.35">
      <c r="A17" s="281">
        <v>17</v>
      </c>
      <c r="B17" s="282" t="s">
        <v>12</v>
      </c>
      <c r="C17" s="389">
        <v>150000</v>
      </c>
      <c r="D17" s="389">
        <v>300000</v>
      </c>
      <c r="E17" s="389">
        <v>300000</v>
      </c>
      <c r="F17" s="389">
        <f t="shared" si="0"/>
        <v>750000</v>
      </c>
    </row>
    <row r="18" spans="1:6" ht="16.2" thickBot="1" x14ac:dyDescent="0.35">
      <c r="A18" s="281">
        <v>18</v>
      </c>
      <c r="B18" s="282" t="s">
        <v>14</v>
      </c>
      <c r="C18" s="389">
        <v>2000000</v>
      </c>
      <c r="D18" s="389">
        <v>500000</v>
      </c>
      <c r="E18" s="389">
        <v>500000</v>
      </c>
      <c r="F18" s="389">
        <f t="shared" si="0"/>
        <v>3000000</v>
      </c>
    </row>
    <row r="19" spans="1:6" ht="16.2" thickBot="1" x14ac:dyDescent="0.35">
      <c r="A19" s="281">
        <v>19</v>
      </c>
      <c r="B19" s="282" t="s">
        <v>47</v>
      </c>
      <c r="C19" s="389">
        <v>100000</v>
      </c>
      <c r="D19" s="389">
        <v>110000</v>
      </c>
      <c r="E19" s="389">
        <v>120000</v>
      </c>
      <c r="F19" s="389">
        <f t="shared" si="0"/>
        <v>330000</v>
      </c>
    </row>
    <row r="20" spans="1:6" ht="16.2" thickBot="1" x14ac:dyDescent="0.35">
      <c r="A20" s="281">
        <v>20</v>
      </c>
      <c r="B20" s="282" t="s">
        <v>196</v>
      </c>
      <c r="C20" s="389">
        <v>1000000</v>
      </c>
      <c r="D20" s="389">
        <v>1000000</v>
      </c>
      <c r="E20" s="389">
        <v>1000000</v>
      </c>
      <c r="F20" s="389">
        <f t="shared" si="0"/>
        <v>3000000</v>
      </c>
    </row>
    <row r="21" spans="1:6" ht="16.2" thickBot="1" x14ac:dyDescent="0.35">
      <c r="A21" s="281">
        <v>22</v>
      </c>
      <c r="B21" s="282" t="s">
        <v>199</v>
      </c>
      <c r="C21" s="389">
        <v>3000000</v>
      </c>
      <c r="D21" s="389">
        <v>3000000</v>
      </c>
      <c r="E21" s="389">
        <v>3500000</v>
      </c>
      <c r="F21" s="389">
        <f t="shared" si="0"/>
        <v>9500000</v>
      </c>
    </row>
    <row r="22" spans="1:6" ht="16.2" thickBot="1" x14ac:dyDescent="0.35">
      <c r="A22" s="451" t="s">
        <v>316</v>
      </c>
      <c r="B22" s="283" t="s">
        <v>53</v>
      </c>
      <c r="C22" s="390">
        <f>SUM(C2:C21)</f>
        <v>17387950</v>
      </c>
      <c r="D22" s="390">
        <f>SUM(D2:D21)</f>
        <v>30823433</v>
      </c>
      <c r="E22" s="390">
        <f>SUM(E2:E21)</f>
        <v>33577862.609200001</v>
      </c>
      <c r="F22" s="390">
        <f>SUM(F2:F21)</f>
        <v>81789245.609200001</v>
      </c>
    </row>
    <row r="23" spans="1:6" ht="16.2" thickBot="1" x14ac:dyDescent="0.35">
      <c r="A23" s="452"/>
      <c r="B23" s="283" t="s">
        <v>54</v>
      </c>
      <c r="C23" s="380">
        <f>C22/1000000</f>
        <v>17.38795</v>
      </c>
      <c r="D23" s="380">
        <f t="shared" ref="D23:F23" si="1">D22/1000000</f>
        <v>30.823433000000001</v>
      </c>
      <c r="E23" s="380">
        <f t="shared" si="1"/>
        <v>33.577862609200004</v>
      </c>
      <c r="F23" s="380">
        <f t="shared" si="1"/>
        <v>81.789245609199995</v>
      </c>
    </row>
  </sheetData>
  <mergeCells count="3">
    <mergeCell ref="A22:A23"/>
    <mergeCell ref="H4:H5"/>
    <mergeCell ref="I4:I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7B1563-987F-4279-8248-52E6149E882E}">
  <dimension ref="A1:P16"/>
  <sheetViews>
    <sheetView zoomScale="110" zoomScaleNormal="110" workbookViewId="0">
      <selection activeCell="D14" sqref="D14"/>
    </sheetView>
  </sheetViews>
  <sheetFormatPr defaultRowHeight="16.2" customHeight="1" x14ac:dyDescent="0.3"/>
  <cols>
    <col min="1" max="1" width="7.109375" style="11" bestFit="1" customWidth="1"/>
    <col min="2" max="2" width="31.33203125" bestFit="1" customWidth="1"/>
    <col min="3" max="3" width="4.6640625" style="378" bestFit="1" customWidth="1"/>
    <col min="4" max="4" width="11.5546875" bestFit="1" customWidth="1"/>
    <col min="5" max="5" width="15.109375" bestFit="1" customWidth="1"/>
    <col min="6" max="6" width="8.6640625" hidden="1" customWidth="1"/>
    <col min="7" max="7" width="19.77734375" bestFit="1" customWidth="1"/>
    <col min="8" max="8" width="8.77734375" hidden="1" customWidth="1"/>
    <col min="9" max="9" width="9.77734375" style="11" hidden="1" customWidth="1"/>
    <col min="10" max="10" width="14.5546875" hidden="1" customWidth="1"/>
    <col min="11" max="11" width="22" hidden="1" customWidth="1"/>
    <col min="12" max="12" width="14.88671875" bestFit="1" customWidth="1"/>
    <col min="13" max="13" width="9.5546875" hidden="1" customWidth="1"/>
    <col min="14" max="14" width="11.21875" hidden="1" customWidth="1"/>
    <col min="15" max="15" width="12.5546875" bestFit="1" customWidth="1"/>
    <col min="16" max="16" width="12.44140625" bestFit="1" customWidth="1"/>
    <col min="18" max="18" width="12.21875" bestFit="1" customWidth="1"/>
  </cols>
  <sheetData>
    <row r="1" spans="1:16" ht="16.2" customHeight="1" x14ac:dyDescent="0.3">
      <c r="A1" s="453" t="s">
        <v>200</v>
      </c>
      <c r="B1" s="454"/>
      <c r="C1" s="454"/>
      <c r="D1" s="454"/>
      <c r="E1" s="454"/>
      <c r="F1" s="454"/>
      <c r="G1" s="454"/>
      <c r="H1" s="454"/>
      <c r="I1" s="454"/>
      <c r="J1" s="454"/>
      <c r="K1" s="454"/>
      <c r="L1" s="454"/>
      <c r="M1" s="454"/>
      <c r="N1" s="454"/>
      <c r="O1" s="454"/>
    </row>
    <row r="2" spans="1:16" ht="24.6" customHeight="1" x14ac:dyDescent="0.3">
      <c r="A2" s="455" t="s">
        <v>1</v>
      </c>
      <c r="B2" s="455" t="s">
        <v>55</v>
      </c>
      <c r="C2" s="456" t="s">
        <v>56</v>
      </c>
      <c r="D2" s="457" t="s">
        <v>57</v>
      </c>
      <c r="E2" s="457" t="s">
        <v>317</v>
      </c>
      <c r="F2" s="458" t="s">
        <v>205</v>
      </c>
      <c r="G2" s="363" t="s">
        <v>318</v>
      </c>
      <c r="H2" s="456" t="s">
        <v>202</v>
      </c>
      <c r="I2" s="456"/>
      <c r="J2" s="456"/>
      <c r="K2" s="456"/>
      <c r="L2" s="363" t="s">
        <v>319</v>
      </c>
      <c r="M2" s="363"/>
      <c r="N2" s="363"/>
      <c r="O2" s="363" t="s">
        <v>320</v>
      </c>
    </row>
    <row r="3" spans="1:16" ht="82.8" x14ac:dyDescent="0.3">
      <c r="A3" s="455"/>
      <c r="B3" s="455"/>
      <c r="C3" s="456"/>
      <c r="D3" s="457"/>
      <c r="E3" s="457"/>
      <c r="F3" s="459"/>
      <c r="G3" s="363" t="s">
        <v>321</v>
      </c>
      <c r="H3" s="362" t="s">
        <v>205</v>
      </c>
      <c r="I3" s="364" t="s">
        <v>207</v>
      </c>
      <c r="J3" s="363" t="s">
        <v>208</v>
      </c>
      <c r="K3" s="363" t="s">
        <v>209</v>
      </c>
      <c r="L3" s="363" t="s">
        <v>322</v>
      </c>
      <c r="M3" s="363" t="s">
        <v>208</v>
      </c>
      <c r="N3" s="363" t="s">
        <v>209</v>
      </c>
      <c r="O3" s="363" t="s">
        <v>323</v>
      </c>
    </row>
    <row r="4" spans="1:16" ht="16.2" customHeight="1" x14ac:dyDescent="0.3">
      <c r="A4" s="365">
        <v>1</v>
      </c>
      <c r="B4" s="365" t="s">
        <v>407</v>
      </c>
      <c r="C4" s="366">
        <v>10</v>
      </c>
      <c r="D4" s="367">
        <v>1</v>
      </c>
      <c r="E4" s="368">
        <v>700000</v>
      </c>
      <c r="F4" s="368">
        <v>3</v>
      </c>
      <c r="G4" s="369">
        <f>E4*F4*D4</f>
        <v>2100000</v>
      </c>
      <c r="H4" s="370">
        <v>12</v>
      </c>
      <c r="I4" s="371">
        <v>0.05</v>
      </c>
      <c r="J4" s="372">
        <f>E4*I4</f>
        <v>35000</v>
      </c>
      <c r="K4" s="372">
        <f>J4+E4</f>
        <v>735000</v>
      </c>
      <c r="L4" s="372">
        <f>(H4-F4)*E4+(F4*K4)</f>
        <v>8505000</v>
      </c>
      <c r="M4" s="372">
        <f>K4*I4</f>
        <v>36750</v>
      </c>
      <c r="N4" s="372">
        <f>M4+K4</f>
        <v>771750</v>
      </c>
      <c r="O4" s="372">
        <f>(K4-I4)*H4+(I4*N4)</f>
        <v>8858586.8999999985</v>
      </c>
    </row>
    <row r="5" spans="1:16" ht="16.2" customHeight="1" x14ac:dyDescent="0.3">
      <c r="A5" s="365">
        <v>2</v>
      </c>
      <c r="B5" s="365" t="s">
        <v>212</v>
      </c>
      <c r="C5" s="367">
        <v>7</v>
      </c>
      <c r="D5" s="367">
        <v>2</v>
      </c>
      <c r="E5" s="368">
        <v>258300</v>
      </c>
      <c r="F5" s="368">
        <v>1</v>
      </c>
      <c r="G5" s="369">
        <f>E5*F5*D5</f>
        <v>516600</v>
      </c>
      <c r="H5" s="370">
        <v>12</v>
      </c>
      <c r="I5" s="373">
        <v>0.08</v>
      </c>
      <c r="J5" s="372">
        <f>E5*I5</f>
        <v>20664</v>
      </c>
      <c r="K5" s="372">
        <f>J5+E5</f>
        <v>278964</v>
      </c>
      <c r="L5" s="372">
        <f>(H5-F5)*E5+(F5*K5)</f>
        <v>3120264</v>
      </c>
      <c r="M5" s="372">
        <f>K5*I5</f>
        <v>22317.119999999999</v>
      </c>
      <c r="N5" s="372">
        <f>M5+K5</f>
        <v>301281.12</v>
      </c>
      <c r="O5" s="372">
        <f t="shared" ref="O5:O8" si="0">(K5-I5)*H5+(I5*N5)</f>
        <v>3371669.5296</v>
      </c>
    </row>
    <row r="6" spans="1:16" ht="16.2" customHeight="1" x14ac:dyDescent="0.3">
      <c r="A6" s="365">
        <v>3</v>
      </c>
      <c r="B6" s="365" t="s">
        <v>324</v>
      </c>
      <c r="C6" s="367">
        <v>7</v>
      </c>
      <c r="D6" s="367">
        <v>1</v>
      </c>
      <c r="E6" s="368">
        <v>258300</v>
      </c>
      <c r="F6" s="368">
        <v>1</v>
      </c>
      <c r="G6" s="369">
        <f>E6*F6*D6</f>
        <v>258300</v>
      </c>
      <c r="H6" s="370">
        <v>12</v>
      </c>
      <c r="I6" s="373">
        <v>0.08</v>
      </c>
      <c r="J6" s="372">
        <f>E6*I6</f>
        <v>20664</v>
      </c>
      <c r="K6" s="372">
        <f>J6+E6</f>
        <v>278964</v>
      </c>
      <c r="L6" s="372">
        <f>(H6-F6)*E6+(F6*K6)</f>
        <v>3120264</v>
      </c>
      <c r="M6" s="372">
        <f>K6*I6</f>
        <v>22317.119999999999</v>
      </c>
      <c r="N6" s="372">
        <f>M6+K6</f>
        <v>301281.12</v>
      </c>
      <c r="O6" s="372">
        <f t="shared" si="0"/>
        <v>3371669.5296</v>
      </c>
    </row>
    <row r="7" spans="1:16" ht="16.2" customHeight="1" x14ac:dyDescent="0.3">
      <c r="A7" s="365">
        <v>4</v>
      </c>
      <c r="B7" s="365" t="s">
        <v>252</v>
      </c>
      <c r="C7" s="367">
        <v>4</v>
      </c>
      <c r="D7" s="367">
        <v>1</v>
      </c>
      <c r="E7" s="368">
        <v>68250</v>
      </c>
      <c r="F7" s="368">
        <v>1</v>
      </c>
      <c r="G7" s="369">
        <f>E7*F7*D7</f>
        <v>68250</v>
      </c>
      <c r="H7" s="370">
        <v>12</v>
      </c>
      <c r="I7" s="373">
        <v>0.1</v>
      </c>
      <c r="J7" s="372">
        <f>E7*I7</f>
        <v>6825</v>
      </c>
      <c r="K7" s="372">
        <f>J7+E7</f>
        <v>75075</v>
      </c>
      <c r="L7" s="372">
        <f>(H7-F7)*E7+(F7*K7)</f>
        <v>825825</v>
      </c>
      <c r="M7" s="372">
        <f>K7*I7</f>
        <v>7507.5</v>
      </c>
      <c r="N7" s="372">
        <f>M7+K7</f>
        <v>82582.5</v>
      </c>
      <c r="O7" s="372">
        <f t="shared" si="0"/>
        <v>909157.04999999993</v>
      </c>
    </row>
    <row r="8" spans="1:16" ht="16.2" customHeight="1" x14ac:dyDescent="0.3">
      <c r="A8" s="365">
        <v>5</v>
      </c>
      <c r="B8" s="365" t="s">
        <v>408</v>
      </c>
      <c r="C8" s="367">
        <v>1</v>
      </c>
      <c r="D8" s="367">
        <v>1</v>
      </c>
      <c r="E8" s="368">
        <v>44800</v>
      </c>
      <c r="F8" s="368">
        <v>1</v>
      </c>
      <c r="G8" s="369">
        <f>E8*F8*D8</f>
        <v>44800</v>
      </c>
      <c r="H8" s="370">
        <v>12</v>
      </c>
      <c r="I8" s="373">
        <v>0.1</v>
      </c>
      <c r="J8" s="372">
        <f>E8*I8</f>
        <v>4480</v>
      </c>
      <c r="K8" s="372">
        <f>J8+E8</f>
        <v>49280</v>
      </c>
      <c r="L8" s="372">
        <f>(H8-F8)*E8+(F8*K8)</f>
        <v>542080</v>
      </c>
      <c r="M8" s="372">
        <f>K8*I8</f>
        <v>4928</v>
      </c>
      <c r="N8" s="372">
        <f>M8+K8</f>
        <v>54208</v>
      </c>
      <c r="O8" s="372">
        <f t="shared" si="0"/>
        <v>596779.60000000009</v>
      </c>
    </row>
    <row r="9" spans="1:16" ht="16.2" customHeight="1" x14ac:dyDescent="0.3">
      <c r="A9" s="374"/>
      <c r="B9" s="370" t="s">
        <v>7</v>
      </c>
      <c r="C9" s="375"/>
      <c r="D9" s="370"/>
      <c r="E9" s="370"/>
      <c r="F9" s="370"/>
      <c r="G9" s="376">
        <f>SUM(G4:G8)</f>
        <v>2987950</v>
      </c>
      <c r="H9" s="370"/>
      <c r="I9" s="374"/>
      <c r="J9" s="370"/>
      <c r="K9" s="370"/>
      <c r="L9" s="376">
        <f>SUM(L4:L8)</f>
        <v>16113433</v>
      </c>
      <c r="M9" s="376"/>
      <c r="N9" s="376"/>
      <c r="O9" s="376">
        <f>SUM(O4:O8)</f>
        <v>17107862.609200001</v>
      </c>
      <c r="P9" s="377"/>
    </row>
    <row r="10" spans="1:16" ht="16.2" customHeight="1" x14ac:dyDescent="0.3">
      <c r="P10" s="377"/>
    </row>
    <row r="16" spans="1:16" ht="16.2" customHeight="1" x14ac:dyDescent="0.3">
      <c r="G16" s="379"/>
    </row>
  </sheetData>
  <mergeCells count="8">
    <mergeCell ref="A1:O1"/>
    <mergeCell ref="A2:A3"/>
    <mergeCell ref="B2:B3"/>
    <mergeCell ref="C2:C3"/>
    <mergeCell ref="D2:D3"/>
    <mergeCell ref="E2:E3"/>
    <mergeCell ref="F2:F3"/>
    <mergeCell ref="H2:K2"/>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F1F943-8DA5-4945-AB64-E700B4788E43}">
  <sheetPr>
    <tabColor rgb="FFFFFF00"/>
  </sheetPr>
  <dimension ref="A1:Y38"/>
  <sheetViews>
    <sheetView tabSelected="1" zoomScale="110" zoomScaleNormal="110" workbookViewId="0">
      <selection activeCell="H1" sqref="H1:M1048576"/>
    </sheetView>
  </sheetViews>
  <sheetFormatPr defaultRowHeight="14.4" x14ac:dyDescent="0.3"/>
  <cols>
    <col min="1" max="1" width="5.77734375" bestFit="1" customWidth="1"/>
    <col min="2" max="2" width="30.44140625" customWidth="1"/>
    <col min="3" max="3" width="20.21875" customWidth="1"/>
    <col min="4" max="4" width="24.109375" customWidth="1"/>
    <col min="5" max="5" width="21.33203125" bestFit="1" customWidth="1"/>
    <col min="6" max="6" width="11.21875" bestFit="1" customWidth="1"/>
    <col min="7" max="7" width="8" style="115" bestFit="1" customWidth="1"/>
    <col min="8" max="8" width="15.21875" style="12" hidden="1" customWidth="1"/>
    <col min="9" max="9" width="24.109375" style="98" hidden="1" customWidth="1"/>
    <col min="10" max="10" width="22.6640625" style="12" hidden="1" customWidth="1"/>
    <col min="11" max="11" width="29.109375" style="12" hidden="1" customWidth="1"/>
    <col min="12" max="12" width="35.109375" style="12" hidden="1" customWidth="1"/>
    <col min="13" max="13" width="18.33203125" style="12" hidden="1" customWidth="1"/>
    <col min="14" max="25" width="8.88671875" style="12"/>
  </cols>
  <sheetData>
    <row r="1" spans="1:25" ht="14.4" customHeight="1" x14ac:dyDescent="0.3">
      <c r="A1" s="460" t="s">
        <v>181</v>
      </c>
      <c r="B1" s="460"/>
      <c r="C1" s="460"/>
      <c r="D1" s="460"/>
      <c r="E1" s="460"/>
      <c r="F1" s="460"/>
      <c r="G1" s="460"/>
    </row>
    <row r="2" spans="1:25" ht="28.8" customHeight="1" x14ac:dyDescent="0.3">
      <c r="A2" s="97" t="s">
        <v>182</v>
      </c>
      <c r="B2" s="97" t="s">
        <v>3</v>
      </c>
      <c r="C2" s="97" t="s">
        <v>183</v>
      </c>
      <c r="D2" s="97" t="s">
        <v>184</v>
      </c>
      <c r="E2" s="97" t="s">
        <v>185</v>
      </c>
      <c r="F2" s="97" t="s">
        <v>7</v>
      </c>
      <c r="G2" s="97" t="s">
        <v>8</v>
      </c>
    </row>
    <row r="3" spans="1:25" x14ac:dyDescent="0.3">
      <c r="A3" s="99">
        <v>1</v>
      </c>
      <c r="B3" s="100" t="s">
        <v>186</v>
      </c>
      <c r="C3" s="101">
        <f>'HR PSPA'!G55</f>
        <v>36999050</v>
      </c>
      <c r="D3" s="101">
        <f>'HR PSPA'!L55</f>
        <v>412995654</v>
      </c>
      <c r="E3" s="101">
        <f>'HR PSPA'!Q55</f>
        <v>442792269.31999999</v>
      </c>
      <c r="F3" s="101">
        <f>SUM(C3:E3)</f>
        <v>892786973.31999993</v>
      </c>
      <c r="G3" s="102">
        <f>F3/$F$34</f>
        <v>0.26936918191397613</v>
      </c>
      <c r="H3" s="103"/>
      <c r="I3" s="104"/>
      <c r="J3"/>
    </row>
    <row r="4" spans="1:25" x14ac:dyDescent="0.3">
      <c r="A4" s="99">
        <v>3</v>
      </c>
      <c r="B4" s="100" t="s">
        <v>21</v>
      </c>
      <c r="C4" s="101">
        <v>15000000</v>
      </c>
      <c r="D4" s="101">
        <v>1000000</v>
      </c>
      <c r="E4" s="101">
        <v>1000000</v>
      </c>
      <c r="F4" s="101">
        <f t="shared" ref="F4:F33" si="0">SUM(C4:E4)</f>
        <v>17000000</v>
      </c>
      <c r="G4" s="102">
        <f t="shared" ref="G4:G7" si="1">F4/$F$34</f>
        <v>5.1291923262597305E-3</v>
      </c>
      <c r="H4" s="103">
        <v>17000000</v>
      </c>
      <c r="I4" s="104"/>
      <c r="J4"/>
    </row>
    <row r="5" spans="1:25" x14ac:dyDescent="0.3">
      <c r="A5" s="99">
        <v>4</v>
      </c>
      <c r="B5" s="100" t="s">
        <v>23</v>
      </c>
      <c r="C5" s="101">
        <v>2500000</v>
      </c>
      <c r="D5" s="101">
        <v>7500000</v>
      </c>
      <c r="E5" s="101">
        <v>7500000</v>
      </c>
      <c r="F5" s="101">
        <f t="shared" si="0"/>
        <v>17500000</v>
      </c>
      <c r="G5" s="102">
        <f t="shared" si="1"/>
        <v>5.280050924090899E-3</v>
      </c>
      <c r="H5" s="12">
        <v>17500000</v>
      </c>
    </row>
    <row r="6" spans="1:25" x14ac:dyDescent="0.3">
      <c r="A6" s="99">
        <v>5</v>
      </c>
      <c r="B6" s="100" t="s">
        <v>25</v>
      </c>
      <c r="C6" s="101">
        <v>2500000</v>
      </c>
      <c r="D6" s="101">
        <v>7500000</v>
      </c>
      <c r="E6" s="101">
        <v>7500000</v>
      </c>
      <c r="F6" s="101">
        <f t="shared" si="0"/>
        <v>17500000</v>
      </c>
      <c r="G6" s="102">
        <f t="shared" si="1"/>
        <v>5.280050924090899E-3</v>
      </c>
      <c r="H6" s="12">
        <v>17500000</v>
      </c>
    </row>
    <row r="7" spans="1:25" x14ac:dyDescent="0.3">
      <c r="A7" s="99">
        <v>6</v>
      </c>
      <c r="B7" s="100" t="s">
        <v>187</v>
      </c>
      <c r="C7" s="101">
        <v>5000000</v>
      </c>
      <c r="D7" s="101">
        <v>20000000</v>
      </c>
      <c r="E7" s="101">
        <v>5000000</v>
      </c>
      <c r="F7" s="101">
        <f t="shared" si="0"/>
        <v>30000000</v>
      </c>
      <c r="G7" s="102">
        <f t="shared" si="1"/>
        <v>9.051515869870113E-3</v>
      </c>
      <c r="H7" s="12">
        <v>9000000</v>
      </c>
    </row>
    <row r="8" spans="1:25" x14ac:dyDescent="0.3">
      <c r="A8" s="99">
        <v>7</v>
      </c>
      <c r="B8" s="461" t="s">
        <v>188</v>
      </c>
      <c r="C8" s="461"/>
      <c r="D8" s="461"/>
      <c r="E8" s="461"/>
      <c r="F8" s="461"/>
      <c r="G8" s="102"/>
      <c r="H8" s="12">
        <v>10000000</v>
      </c>
    </row>
    <row r="9" spans="1:25" s="107" customFormat="1" x14ac:dyDescent="0.3">
      <c r="A9" s="99">
        <v>7.1</v>
      </c>
      <c r="B9" s="105" t="s">
        <v>189</v>
      </c>
      <c r="C9" s="106">
        <f>10000000*5*4*1.2*1.2</f>
        <v>288000000</v>
      </c>
      <c r="D9" s="106">
        <f>15000000*5*4*1.2*1.2</f>
        <v>432000000</v>
      </c>
      <c r="E9" s="106">
        <f>2000000*5*4*1.2*1.2</f>
        <v>57600000</v>
      </c>
      <c r="F9" s="381">
        <f t="shared" si="0"/>
        <v>777600000</v>
      </c>
      <c r="G9" s="102">
        <f t="shared" ref="G9:G13" si="2">F9/$F$34</f>
        <v>0.23461529134703332</v>
      </c>
      <c r="H9" s="106">
        <v>17025000</v>
      </c>
      <c r="I9" s="106"/>
      <c r="J9" s="106"/>
      <c r="K9" s="12"/>
      <c r="L9" s="12"/>
      <c r="M9" s="12"/>
      <c r="N9" s="12"/>
      <c r="O9" s="12"/>
      <c r="P9" s="12"/>
      <c r="Q9" s="12"/>
      <c r="R9" s="12"/>
      <c r="S9" s="12"/>
      <c r="T9" s="12"/>
      <c r="U9" s="12"/>
      <c r="V9" s="12"/>
      <c r="W9" s="12"/>
      <c r="X9" s="12"/>
      <c r="Y9" s="12"/>
    </row>
    <row r="10" spans="1:25" s="107" customFormat="1" ht="15" thickBot="1" x14ac:dyDescent="0.35">
      <c r="A10" s="99">
        <v>7.2</v>
      </c>
      <c r="B10" s="105" t="s">
        <v>190</v>
      </c>
      <c r="C10" s="108">
        <f>10000000*5</f>
        <v>50000000</v>
      </c>
      <c r="D10" s="108">
        <f>10000000*5</f>
        <v>50000000</v>
      </c>
      <c r="E10" s="108">
        <f>10000000*5</f>
        <v>50000000</v>
      </c>
      <c r="F10" s="101">
        <f t="shared" si="0"/>
        <v>150000000</v>
      </c>
      <c r="G10" s="102">
        <f t="shared" si="2"/>
        <v>4.5257579349350562E-2</v>
      </c>
      <c r="H10" s="12">
        <v>17000000</v>
      </c>
      <c r="I10" s="98"/>
      <c r="J10" s="12"/>
      <c r="K10" s="12"/>
      <c r="L10" s="12"/>
      <c r="M10" s="12"/>
      <c r="N10" s="12"/>
      <c r="O10" s="12"/>
      <c r="P10" s="12"/>
      <c r="Q10" s="12"/>
      <c r="R10" s="12"/>
      <c r="S10" s="12"/>
      <c r="T10" s="12"/>
      <c r="U10" s="12"/>
      <c r="V10" s="12"/>
      <c r="W10" s="12"/>
      <c r="X10" s="12"/>
      <c r="Y10" s="12"/>
    </row>
    <row r="11" spans="1:25" ht="16.2" thickBot="1" x14ac:dyDescent="0.35">
      <c r="A11" s="99">
        <v>7.3</v>
      </c>
      <c r="B11" s="105" t="s">
        <v>52</v>
      </c>
      <c r="C11" s="108">
        <v>20000000</v>
      </c>
      <c r="D11" s="109">
        <v>10000000</v>
      </c>
      <c r="E11" s="109">
        <v>10000000</v>
      </c>
      <c r="F11" s="101">
        <f>SUM(C11:E11)</f>
        <v>40000000</v>
      </c>
      <c r="G11" s="102">
        <f t="shared" si="2"/>
        <v>1.2068687826493483E-2</v>
      </c>
      <c r="H11" s="12">
        <v>25000000</v>
      </c>
      <c r="I11" s="382" t="s">
        <v>409</v>
      </c>
      <c r="J11" s="382" t="s">
        <v>410</v>
      </c>
      <c r="K11" s="382" t="s">
        <v>435</v>
      </c>
      <c r="L11" s="382" t="s">
        <v>436</v>
      </c>
      <c r="M11" s="382" t="s">
        <v>434</v>
      </c>
    </row>
    <row r="12" spans="1:25" ht="16.2" thickBot="1" x14ac:dyDescent="0.35">
      <c r="A12" s="99">
        <v>8</v>
      </c>
      <c r="B12" s="100" t="s">
        <v>27</v>
      </c>
      <c r="C12" s="101">
        <v>2500000</v>
      </c>
      <c r="D12" s="101">
        <v>3000000</v>
      </c>
      <c r="E12" s="101">
        <v>3500000</v>
      </c>
      <c r="F12" s="101">
        <f t="shared" si="0"/>
        <v>9000000</v>
      </c>
      <c r="G12" s="102">
        <f t="shared" si="2"/>
        <v>2.7154547609610337E-3</v>
      </c>
      <c r="H12" s="12">
        <v>3000000</v>
      </c>
      <c r="I12" s="383" t="s">
        <v>411</v>
      </c>
      <c r="J12" s="384" t="s">
        <v>412</v>
      </c>
      <c r="K12" s="388">
        <v>0</v>
      </c>
      <c r="L12" s="523">
        <v>579270173.31999993</v>
      </c>
      <c r="M12" s="388">
        <f>L12-K12</f>
        <v>579270173.31999993</v>
      </c>
    </row>
    <row r="13" spans="1:25" ht="16.2" thickBot="1" x14ac:dyDescent="0.35">
      <c r="A13" s="99">
        <v>9</v>
      </c>
      <c r="B13" s="100" t="s">
        <v>29</v>
      </c>
      <c r="C13" s="101">
        <v>2500000</v>
      </c>
      <c r="D13" s="101">
        <v>5000000</v>
      </c>
      <c r="E13" s="101">
        <v>2500000</v>
      </c>
      <c r="F13" s="101">
        <f t="shared" si="0"/>
        <v>10000000</v>
      </c>
      <c r="G13" s="102">
        <f t="shared" si="2"/>
        <v>3.0171719566233707E-3</v>
      </c>
      <c r="H13" s="12">
        <v>9000000</v>
      </c>
      <c r="I13" s="385"/>
      <c r="J13" s="384" t="s">
        <v>413</v>
      </c>
      <c r="K13" s="388">
        <v>0</v>
      </c>
      <c r="L13" s="523">
        <v>313516800</v>
      </c>
      <c r="M13" s="388">
        <f t="shared" ref="M13:M19" si="3">L13-K13</f>
        <v>313516800</v>
      </c>
    </row>
    <row r="14" spans="1:25" s="107" customFormat="1" ht="16.2" thickBot="1" x14ac:dyDescent="0.35">
      <c r="A14" s="99">
        <v>10</v>
      </c>
      <c r="B14" s="462" t="s">
        <v>31</v>
      </c>
      <c r="C14" s="463"/>
      <c r="D14" s="463"/>
      <c r="E14" s="463"/>
      <c r="F14" s="463"/>
      <c r="G14" s="463"/>
      <c r="H14" s="12">
        <v>2500000</v>
      </c>
      <c r="I14" s="384" t="s">
        <v>414</v>
      </c>
      <c r="J14" s="384" t="s">
        <v>415</v>
      </c>
      <c r="K14" s="523">
        <v>400000000</v>
      </c>
      <c r="L14" s="523">
        <f>F31</f>
        <v>600000000</v>
      </c>
      <c r="M14" s="388">
        <f t="shared" si="3"/>
        <v>200000000</v>
      </c>
      <c r="N14" s="12"/>
      <c r="O14" s="12"/>
      <c r="P14" s="12"/>
      <c r="Q14" s="12"/>
      <c r="R14" s="12"/>
      <c r="S14" s="12"/>
      <c r="T14" s="12"/>
      <c r="U14" s="12"/>
      <c r="V14" s="12"/>
      <c r="W14" s="12"/>
      <c r="X14" s="12"/>
      <c r="Y14" s="12"/>
    </row>
    <row r="15" spans="1:25" s="107" customFormat="1" ht="16.2" thickBot="1" x14ac:dyDescent="0.35">
      <c r="A15" s="99">
        <v>10.1</v>
      </c>
      <c r="B15" s="105" t="s">
        <v>31</v>
      </c>
      <c r="C15" s="109">
        <v>250000000</v>
      </c>
      <c r="D15" s="109">
        <v>126000000</v>
      </c>
      <c r="E15" s="109">
        <v>50000000</v>
      </c>
      <c r="F15" s="101">
        <f>SUM(C15:E15)</f>
        <v>426000000</v>
      </c>
      <c r="G15" s="102">
        <f t="shared" ref="G15:G33" si="4">F15/$F$34</f>
        <v>0.12853152535215559</v>
      </c>
      <c r="H15" s="12">
        <v>2500000</v>
      </c>
      <c r="I15" s="384" t="s">
        <v>416</v>
      </c>
      <c r="J15" s="384" t="s">
        <v>417</v>
      </c>
      <c r="K15" s="388">
        <f>L23+L24+C11</f>
        <v>358000000</v>
      </c>
      <c r="L15" s="523">
        <f>F9+F10+F11</f>
        <v>967600000</v>
      </c>
      <c r="M15" s="388">
        <f t="shared" si="3"/>
        <v>609600000</v>
      </c>
      <c r="N15" s="12"/>
      <c r="O15" s="12"/>
      <c r="P15" s="12"/>
      <c r="Q15" s="12"/>
      <c r="R15" s="12"/>
      <c r="S15" s="12"/>
      <c r="T15" s="12"/>
      <c r="U15" s="12"/>
      <c r="V15" s="12"/>
      <c r="W15" s="12"/>
      <c r="X15" s="12"/>
      <c r="Y15" s="12"/>
    </row>
    <row r="16" spans="1:25" s="107" customFormat="1" ht="16.2" thickBot="1" x14ac:dyDescent="0.35">
      <c r="A16" s="99">
        <v>10.199999999999999</v>
      </c>
      <c r="B16" s="105" t="s">
        <v>191</v>
      </c>
      <c r="C16" s="110">
        <f>(2500+450)*5000+275000</f>
        <v>15025000</v>
      </c>
      <c r="D16" s="109">
        <v>1000000</v>
      </c>
      <c r="E16" s="109">
        <v>1000000</v>
      </c>
      <c r="F16" s="101">
        <f t="shared" si="0"/>
        <v>17025000</v>
      </c>
      <c r="G16" s="102">
        <f t="shared" si="4"/>
        <v>5.1367352561512893E-3</v>
      </c>
      <c r="H16" s="12">
        <v>2000000</v>
      </c>
      <c r="I16" s="384" t="s">
        <v>418</v>
      </c>
      <c r="J16" s="384" t="s">
        <v>419</v>
      </c>
      <c r="K16" s="388">
        <f>L26</f>
        <v>250000000</v>
      </c>
      <c r="L16" s="523">
        <f>F15</f>
        <v>426000000</v>
      </c>
      <c r="M16" s="388">
        <f t="shared" si="3"/>
        <v>176000000</v>
      </c>
      <c r="N16" s="12"/>
      <c r="O16" s="12"/>
      <c r="P16" s="12"/>
      <c r="Q16" s="12"/>
      <c r="R16" s="12"/>
      <c r="S16" s="12"/>
      <c r="T16" s="12"/>
      <c r="U16" s="12"/>
      <c r="V16" s="12"/>
      <c r="W16" s="12"/>
      <c r="X16" s="12"/>
      <c r="Y16" s="12"/>
    </row>
    <row r="17" spans="1:13" ht="16.2" thickBot="1" x14ac:dyDescent="0.35">
      <c r="A17" s="99">
        <v>11</v>
      </c>
      <c r="B17" s="100" t="s">
        <v>33</v>
      </c>
      <c r="C17" s="101">
        <v>5000000</v>
      </c>
      <c r="D17" s="101">
        <v>10000000</v>
      </c>
      <c r="E17" s="101">
        <v>2000000</v>
      </c>
      <c r="F17" s="101">
        <f t="shared" si="0"/>
        <v>17000000</v>
      </c>
      <c r="G17" s="102">
        <f t="shared" si="4"/>
        <v>5.1291923262597305E-3</v>
      </c>
      <c r="H17" s="12">
        <v>8150000</v>
      </c>
      <c r="I17" s="384" t="s">
        <v>420</v>
      </c>
      <c r="J17" s="384" t="s">
        <v>421</v>
      </c>
      <c r="K17" s="388">
        <v>0</v>
      </c>
      <c r="L17" s="523">
        <f>F7</f>
        <v>30000000</v>
      </c>
      <c r="M17" s="388">
        <f t="shared" si="3"/>
        <v>30000000</v>
      </c>
    </row>
    <row r="18" spans="1:13" ht="16.2" thickBot="1" x14ac:dyDescent="0.35">
      <c r="A18" s="99">
        <v>12</v>
      </c>
      <c r="B18" s="100" t="s">
        <v>35</v>
      </c>
      <c r="C18" s="101">
        <v>5000000</v>
      </c>
      <c r="D18" s="101">
        <v>10000000</v>
      </c>
      <c r="E18" s="101">
        <v>10000000</v>
      </c>
      <c r="F18" s="101">
        <f t="shared" si="0"/>
        <v>25000000</v>
      </c>
      <c r="G18" s="102">
        <f t="shared" si="4"/>
        <v>7.5429298915584272E-3</v>
      </c>
      <c r="H18" s="12">
        <v>31500000</v>
      </c>
      <c r="I18" s="384" t="s">
        <v>422</v>
      </c>
      <c r="J18" s="384" t="s">
        <v>423</v>
      </c>
      <c r="K18" s="388">
        <f>L31+L29+L28+L27</f>
        <v>34825000</v>
      </c>
      <c r="L18" s="388">
        <v>397975000</v>
      </c>
      <c r="M18" s="388">
        <f t="shared" si="3"/>
        <v>363150000</v>
      </c>
    </row>
    <row r="19" spans="1:13" ht="16.2" thickBot="1" x14ac:dyDescent="0.35">
      <c r="A19" s="99">
        <v>13</v>
      </c>
      <c r="B19" s="100" t="s">
        <v>37</v>
      </c>
      <c r="C19" s="101">
        <v>1000000</v>
      </c>
      <c r="D19" s="101">
        <v>1000000</v>
      </c>
      <c r="E19" s="101">
        <v>1000000</v>
      </c>
      <c r="F19" s="101">
        <f t="shared" si="0"/>
        <v>3000000</v>
      </c>
      <c r="G19" s="102">
        <f t="shared" si="4"/>
        <v>9.0515158698701128E-4</v>
      </c>
      <c r="H19" s="12">
        <v>5000000</v>
      </c>
      <c r="I19" s="386"/>
      <c r="J19" s="387" t="s">
        <v>7</v>
      </c>
      <c r="K19" s="388">
        <f>SUM(K12:K18)</f>
        <v>1042825000</v>
      </c>
      <c r="L19" s="388">
        <f>SUM(L12:L18)</f>
        <v>3314361973.3199997</v>
      </c>
      <c r="M19" s="388">
        <f t="shared" si="3"/>
        <v>2271536973.3199997</v>
      </c>
    </row>
    <row r="20" spans="1:13" x14ac:dyDescent="0.3">
      <c r="A20" s="99">
        <v>14</v>
      </c>
      <c r="B20" s="100" t="s">
        <v>39</v>
      </c>
      <c r="C20" s="101">
        <v>2500000</v>
      </c>
      <c r="D20" s="101">
        <v>3000000</v>
      </c>
      <c r="E20" s="101">
        <v>3500000</v>
      </c>
      <c r="F20" s="101">
        <f t="shared" si="0"/>
        <v>9000000</v>
      </c>
      <c r="G20" s="102">
        <f t="shared" si="4"/>
        <v>2.7154547609610337E-3</v>
      </c>
      <c r="H20" s="12">
        <v>35000000</v>
      </c>
    </row>
    <row r="21" spans="1:13" x14ac:dyDescent="0.3">
      <c r="A21" s="99">
        <v>15</v>
      </c>
      <c r="B21" s="100" t="s">
        <v>41</v>
      </c>
      <c r="C21" s="101">
        <v>500000</v>
      </c>
      <c r="D21" s="101">
        <v>1000000</v>
      </c>
      <c r="E21" s="101">
        <v>1000000</v>
      </c>
      <c r="F21" s="101">
        <f t="shared" si="0"/>
        <v>2500000</v>
      </c>
      <c r="G21" s="102">
        <f t="shared" si="4"/>
        <v>7.5429298915584268E-4</v>
      </c>
      <c r="H21" s="12">
        <v>79500000</v>
      </c>
    </row>
    <row r="22" spans="1:13" x14ac:dyDescent="0.3">
      <c r="A22" s="99">
        <v>16</v>
      </c>
      <c r="B22" s="100" t="s">
        <v>43</v>
      </c>
      <c r="C22" s="101">
        <v>500000</v>
      </c>
      <c r="D22" s="101">
        <v>1000000</v>
      </c>
      <c r="E22" s="101">
        <v>1000000</v>
      </c>
      <c r="F22" s="101">
        <f t="shared" si="0"/>
        <v>2500000</v>
      </c>
      <c r="G22" s="102">
        <f t="shared" si="4"/>
        <v>7.5429298915584268E-4</v>
      </c>
      <c r="H22" s="12">
        <v>5000000</v>
      </c>
      <c r="J22" s="533" t="s">
        <v>340</v>
      </c>
      <c r="K22" s="525" t="s">
        <v>3</v>
      </c>
      <c r="L22" s="524" t="s">
        <v>437</v>
      </c>
    </row>
    <row r="23" spans="1:13" ht="36" x14ac:dyDescent="0.3">
      <c r="A23" s="99">
        <v>17</v>
      </c>
      <c r="B23" s="100" t="s">
        <v>192</v>
      </c>
      <c r="C23" s="101">
        <v>0</v>
      </c>
      <c r="D23" s="101">
        <v>1000000</v>
      </c>
      <c r="E23" s="101">
        <v>1000000</v>
      </c>
      <c r="F23" s="101">
        <f t="shared" si="0"/>
        <v>2000000</v>
      </c>
      <c r="G23" s="102">
        <f t="shared" si="4"/>
        <v>6.0343439132467419E-4</v>
      </c>
      <c r="H23" s="12">
        <v>25000000</v>
      </c>
      <c r="J23" s="532" t="s">
        <v>176</v>
      </c>
      <c r="K23" s="526" t="s">
        <v>438</v>
      </c>
      <c r="L23" s="528">
        <v>288000000</v>
      </c>
    </row>
    <row r="24" spans="1:13" ht="36" x14ac:dyDescent="0.3">
      <c r="A24" s="99">
        <v>18</v>
      </c>
      <c r="B24" s="100" t="s">
        <v>193</v>
      </c>
      <c r="C24" s="101">
        <v>1850000</v>
      </c>
      <c r="D24" s="101">
        <v>3150000</v>
      </c>
      <c r="E24" s="101">
        <v>3150000</v>
      </c>
      <c r="F24" s="101">
        <f t="shared" si="0"/>
        <v>8150000</v>
      </c>
      <c r="G24" s="102">
        <f t="shared" si="4"/>
        <v>2.4589951446480473E-3</v>
      </c>
      <c r="H24" s="12">
        <v>600000000</v>
      </c>
      <c r="J24" s="532" t="s">
        <v>176</v>
      </c>
      <c r="K24" s="526" t="s">
        <v>439</v>
      </c>
      <c r="L24" s="528">
        <v>50000000</v>
      </c>
    </row>
    <row r="25" spans="1:13" ht="24" x14ac:dyDescent="0.3">
      <c r="A25" s="99">
        <v>19</v>
      </c>
      <c r="B25" s="100" t="s">
        <v>19</v>
      </c>
      <c r="C25" s="101">
        <v>6000000</v>
      </c>
      <c r="D25" s="101">
        <v>12000000</v>
      </c>
      <c r="E25" s="101">
        <v>13500000</v>
      </c>
      <c r="F25" s="101">
        <f t="shared" si="0"/>
        <v>31500000</v>
      </c>
      <c r="G25" s="102">
        <f t="shared" si="4"/>
        <v>9.5040916633636185E-3</v>
      </c>
      <c r="H25" s="391">
        <f>SUM(H4:H24)</f>
        <v>938175000</v>
      </c>
      <c r="J25" s="532" t="s">
        <v>177</v>
      </c>
      <c r="K25" s="526" t="s">
        <v>52</v>
      </c>
      <c r="L25" s="528">
        <v>20000000</v>
      </c>
    </row>
    <row r="26" spans="1:13" x14ac:dyDescent="0.3">
      <c r="A26" s="99">
        <v>20</v>
      </c>
      <c r="B26" s="100" t="s">
        <v>12</v>
      </c>
      <c r="C26" s="101">
        <v>1000000</v>
      </c>
      <c r="D26" s="101">
        <v>2000000</v>
      </c>
      <c r="E26" s="101">
        <v>2000000</v>
      </c>
      <c r="F26" s="101">
        <f t="shared" si="0"/>
        <v>5000000</v>
      </c>
      <c r="G26" s="102">
        <f t="shared" si="4"/>
        <v>1.5085859783116854E-3</v>
      </c>
      <c r="J26" s="521" t="s">
        <v>174</v>
      </c>
      <c r="K26" s="526" t="s">
        <v>31</v>
      </c>
      <c r="L26" s="529">
        <v>250000000</v>
      </c>
    </row>
    <row r="27" spans="1:13" x14ac:dyDescent="0.3">
      <c r="A27" s="99">
        <v>21</v>
      </c>
      <c r="B27" s="100" t="s">
        <v>194</v>
      </c>
      <c r="C27" s="101">
        <v>35000000</v>
      </c>
      <c r="D27" s="101">
        <v>0</v>
      </c>
      <c r="E27" s="101">
        <v>0</v>
      </c>
      <c r="F27" s="101">
        <f t="shared" si="0"/>
        <v>35000000</v>
      </c>
      <c r="G27" s="102">
        <f t="shared" si="4"/>
        <v>1.0560101848181798E-2</v>
      </c>
      <c r="J27" s="522"/>
      <c r="K27" s="526" t="s">
        <v>191</v>
      </c>
      <c r="L27" s="535">
        <v>15025000</v>
      </c>
    </row>
    <row r="28" spans="1:13" x14ac:dyDescent="0.3">
      <c r="A28" s="99">
        <v>22</v>
      </c>
      <c r="B28" s="100" t="s">
        <v>195</v>
      </c>
      <c r="C28" s="109">
        <v>75500000</v>
      </c>
      <c r="D28" s="109">
        <v>3000000</v>
      </c>
      <c r="E28" s="109">
        <v>1000000</v>
      </c>
      <c r="F28" s="101">
        <f t="shared" si="0"/>
        <v>79500000</v>
      </c>
      <c r="G28" s="102">
        <f t="shared" si="4"/>
        <v>2.3986517055155799E-2</v>
      </c>
      <c r="H28" s="72"/>
      <c r="J28" s="532" t="s">
        <v>169</v>
      </c>
      <c r="K28" s="526" t="s">
        <v>440</v>
      </c>
      <c r="L28" s="527">
        <v>5000000</v>
      </c>
    </row>
    <row r="29" spans="1:13" x14ac:dyDescent="0.3">
      <c r="A29" s="99">
        <v>23</v>
      </c>
      <c r="B29" s="100" t="s">
        <v>47</v>
      </c>
      <c r="C29" s="101">
        <v>1000000</v>
      </c>
      <c r="D29" s="101">
        <v>2000000</v>
      </c>
      <c r="E29" s="101">
        <v>2000000</v>
      </c>
      <c r="F29" s="101">
        <f t="shared" si="0"/>
        <v>5000000</v>
      </c>
      <c r="G29" s="102">
        <f t="shared" si="4"/>
        <v>1.5085859783116854E-3</v>
      </c>
      <c r="J29" s="532" t="s">
        <v>180</v>
      </c>
      <c r="K29" s="526" t="s">
        <v>199</v>
      </c>
      <c r="L29" s="527">
        <v>10000000</v>
      </c>
    </row>
    <row r="30" spans="1:13" ht="24" x14ac:dyDescent="0.3">
      <c r="A30" s="99">
        <v>24</v>
      </c>
      <c r="B30" s="100" t="s">
        <v>196</v>
      </c>
      <c r="C30" s="101">
        <v>5000000</v>
      </c>
      <c r="D30" s="101">
        <v>10000000</v>
      </c>
      <c r="E30" s="101">
        <v>10000000</v>
      </c>
      <c r="F30" s="101">
        <f t="shared" si="0"/>
        <v>25000000</v>
      </c>
      <c r="G30" s="102">
        <f t="shared" si="4"/>
        <v>7.5429298915584272E-3</v>
      </c>
      <c r="J30" s="532" t="s">
        <v>180</v>
      </c>
      <c r="K30" s="526" t="s">
        <v>441</v>
      </c>
      <c r="L30" s="529">
        <v>400000000</v>
      </c>
    </row>
    <row r="31" spans="1:13" ht="24" x14ac:dyDescent="0.3">
      <c r="A31" s="99">
        <v>25</v>
      </c>
      <c r="B31" s="100" t="s">
        <v>197</v>
      </c>
      <c r="C31" s="109">
        <f>8000000*50</f>
        <v>400000000</v>
      </c>
      <c r="D31" s="109">
        <f>2000000*50</f>
        <v>100000000</v>
      </c>
      <c r="E31" s="109">
        <f>2000000*50</f>
        <v>100000000</v>
      </c>
      <c r="F31" s="101">
        <f>SUM(C31:E31)</f>
        <v>600000000</v>
      </c>
      <c r="G31" s="102">
        <f t="shared" si="4"/>
        <v>0.18103031739740225</v>
      </c>
      <c r="J31" s="532" t="s">
        <v>164</v>
      </c>
      <c r="K31" s="526" t="s">
        <v>442</v>
      </c>
      <c r="L31" s="529">
        <v>4800000</v>
      </c>
    </row>
    <row r="32" spans="1:13" x14ac:dyDescent="0.3">
      <c r="A32" s="99">
        <v>26</v>
      </c>
      <c r="B32" s="100" t="s">
        <v>198</v>
      </c>
      <c r="C32" s="109">
        <f>8*6*100000</f>
        <v>4800000</v>
      </c>
      <c r="D32" s="109">
        <v>2500000</v>
      </c>
      <c r="E32" s="109">
        <v>2500000</v>
      </c>
      <c r="F32" s="101">
        <f>SUM(C32:E32)</f>
        <v>9800000</v>
      </c>
      <c r="G32" s="102">
        <f t="shared" si="4"/>
        <v>2.9568285174909033E-3</v>
      </c>
      <c r="J32" s="534"/>
      <c r="K32" s="530" t="s">
        <v>53</v>
      </c>
      <c r="L32" s="531">
        <v>1042825000</v>
      </c>
    </row>
    <row r="33" spans="1:7" x14ac:dyDescent="0.3">
      <c r="A33" s="99">
        <v>27</v>
      </c>
      <c r="B33" s="100" t="s">
        <v>199</v>
      </c>
      <c r="C33" s="101">
        <v>15000000</v>
      </c>
      <c r="D33" s="101">
        <v>15000000</v>
      </c>
      <c r="E33" s="101">
        <v>20000000</v>
      </c>
      <c r="F33" s="101">
        <f t="shared" si="0"/>
        <v>50000000</v>
      </c>
      <c r="G33" s="102">
        <f t="shared" si="4"/>
        <v>1.5085859783116854E-2</v>
      </c>
    </row>
    <row r="34" spans="1:7" x14ac:dyDescent="0.3">
      <c r="A34" s="464"/>
      <c r="B34" s="111" t="s">
        <v>53</v>
      </c>
      <c r="C34" s="112">
        <f>SUM(C3:C33)</f>
        <v>1249674050</v>
      </c>
      <c r="D34" s="112">
        <f>SUM(D3:D33)</f>
        <v>1252645654</v>
      </c>
      <c r="E34" s="112">
        <f>SUM(E3:E33)</f>
        <v>812042269.31999993</v>
      </c>
      <c r="F34" s="112">
        <f>SUM(F3:F33)</f>
        <v>3314361973.3199997</v>
      </c>
      <c r="G34" s="102">
        <f>SUM(G3:G33)</f>
        <v>1.0000000000000004</v>
      </c>
    </row>
    <row r="35" spans="1:7" x14ac:dyDescent="0.3">
      <c r="A35" s="464"/>
      <c r="B35" s="111" t="s">
        <v>54</v>
      </c>
      <c r="C35" s="113">
        <f>C34/1000000</f>
        <v>1249.6740500000001</v>
      </c>
      <c r="D35" s="113">
        <f t="shared" ref="D35:E35" si="5">D34/1000000</f>
        <v>1252.6456539999999</v>
      </c>
      <c r="E35" s="113">
        <f t="shared" si="5"/>
        <v>812.04226931999995</v>
      </c>
      <c r="F35" s="114">
        <f>SUM(C35:E35)</f>
        <v>3314.3619733199998</v>
      </c>
      <c r="G35" s="102"/>
    </row>
    <row r="38" spans="1:7" x14ac:dyDescent="0.3">
      <c r="C38">
        <v>1714864600</v>
      </c>
      <c r="D38">
        <v>1688206612</v>
      </c>
      <c r="E38">
        <v>1208409884.6000001</v>
      </c>
      <c r="F38">
        <f>SUM(C38:E38)</f>
        <v>4611481096.6000004</v>
      </c>
    </row>
  </sheetData>
  <mergeCells count="5">
    <mergeCell ref="A1:G1"/>
    <mergeCell ref="B8:F8"/>
    <mergeCell ref="B14:G14"/>
    <mergeCell ref="A34:A35"/>
    <mergeCell ref="J26:J27"/>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ABD374-ED38-472F-BC34-0246290ECEAF}">
  <sheetPr>
    <tabColor rgb="FFFFFF00"/>
  </sheetPr>
  <dimension ref="A1:T65"/>
  <sheetViews>
    <sheetView zoomScale="90" zoomScaleNormal="90" workbookViewId="0">
      <pane xSplit="2" ySplit="3" topLeftCell="C39" activePane="bottomRight" state="frozen"/>
      <selection pane="topRight" activeCell="C1" sqref="C1"/>
      <selection pane="bottomLeft" activeCell="A4" sqref="A4"/>
      <selection pane="bottomRight" activeCell="K11" sqref="K11"/>
    </sheetView>
  </sheetViews>
  <sheetFormatPr defaultColWidth="8.88671875" defaultRowHeight="15.6" x14ac:dyDescent="0.3"/>
  <cols>
    <col min="1" max="1" width="7.33203125" style="116" bestFit="1" customWidth="1"/>
    <col min="2" max="2" width="36.44140625" style="164" customWidth="1"/>
    <col min="3" max="4" width="9" style="165" bestFit="1" customWidth="1"/>
    <col min="5" max="5" width="9.109375" style="165" bestFit="1" customWidth="1"/>
    <col min="6" max="6" width="13" style="165" bestFit="1" customWidth="1"/>
    <col min="7" max="7" width="19.109375" style="157" bestFit="1" customWidth="1"/>
    <col min="8" max="8" width="9.109375" style="116" bestFit="1" customWidth="1"/>
    <col min="9" max="9" width="8.33203125" style="116" bestFit="1" customWidth="1"/>
    <col min="10" max="10" width="11.33203125" style="116" bestFit="1" customWidth="1"/>
    <col min="11" max="11" width="12.5546875" style="158" bestFit="1" customWidth="1"/>
    <col min="12" max="12" width="19.109375" style="158" bestFit="1" customWidth="1"/>
    <col min="13" max="13" width="9.109375" style="116" bestFit="1" customWidth="1"/>
    <col min="14" max="14" width="8.33203125" style="116" bestFit="1" customWidth="1"/>
    <col min="15" max="15" width="10.109375" style="116" bestFit="1" customWidth="1"/>
    <col min="16" max="16" width="15.77734375" style="116" bestFit="1" customWidth="1"/>
    <col min="17" max="17" width="21.5546875" style="116" bestFit="1" customWidth="1"/>
    <col min="18" max="18" width="21.88671875" style="116" bestFit="1" customWidth="1"/>
    <col min="19" max="19" width="8.88671875" style="116"/>
    <col min="20" max="20" width="11.109375" style="116" bestFit="1" customWidth="1"/>
    <col min="21" max="16384" width="8.88671875" style="116"/>
  </cols>
  <sheetData>
    <row r="1" spans="1:18" x14ac:dyDescent="0.3">
      <c r="A1" s="477" t="s">
        <v>200</v>
      </c>
      <c r="B1" s="478"/>
      <c r="C1" s="478"/>
      <c r="D1" s="478"/>
      <c r="E1" s="478"/>
      <c r="F1" s="478"/>
      <c r="G1" s="478"/>
      <c r="H1" s="478"/>
      <c r="I1" s="478"/>
      <c r="J1" s="478"/>
      <c r="K1" s="478"/>
      <c r="L1" s="478"/>
      <c r="M1" s="478"/>
      <c r="N1" s="478"/>
      <c r="O1" s="478"/>
      <c r="P1" s="478"/>
      <c r="Q1" s="478"/>
      <c r="R1" s="478"/>
    </row>
    <row r="2" spans="1:18" s="119" customFormat="1" ht="32.4" customHeight="1" x14ac:dyDescent="0.3">
      <c r="A2" s="479" t="s">
        <v>1</v>
      </c>
      <c r="B2" s="479" t="s">
        <v>55</v>
      </c>
      <c r="C2" s="480" t="s">
        <v>57</v>
      </c>
      <c r="D2" s="481" t="s">
        <v>56</v>
      </c>
      <c r="E2" s="482" t="s">
        <v>201</v>
      </c>
      <c r="F2" s="483"/>
      <c r="G2" s="484"/>
      <c r="H2" s="480" t="s">
        <v>202</v>
      </c>
      <c r="I2" s="480"/>
      <c r="J2" s="480"/>
      <c r="K2" s="480"/>
      <c r="L2" s="480"/>
      <c r="M2" s="480" t="s">
        <v>203</v>
      </c>
      <c r="N2" s="480"/>
      <c r="O2" s="480"/>
      <c r="P2" s="480"/>
      <c r="Q2" s="480"/>
      <c r="R2" s="480" t="s">
        <v>204</v>
      </c>
    </row>
    <row r="3" spans="1:18" ht="76.95" customHeight="1" x14ac:dyDescent="0.3">
      <c r="A3" s="479"/>
      <c r="B3" s="479"/>
      <c r="C3" s="480"/>
      <c r="D3" s="481"/>
      <c r="E3" s="118" t="s">
        <v>205</v>
      </c>
      <c r="F3" s="117" t="s">
        <v>206</v>
      </c>
      <c r="G3" s="117" t="s">
        <v>204</v>
      </c>
      <c r="H3" s="120" t="s">
        <v>205</v>
      </c>
      <c r="I3" s="121" t="s">
        <v>207</v>
      </c>
      <c r="J3" s="117" t="s">
        <v>208</v>
      </c>
      <c r="K3" s="117" t="s">
        <v>209</v>
      </c>
      <c r="L3" s="117" t="s">
        <v>204</v>
      </c>
      <c r="M3" s="118" t="s">
        <v>205</v>
      </c>
      <c r="N3" s="121" t="s">
        <v>207</v>
      </c>
      <c r="O3" s="117" t="s">
        <v>208</v>
      </c>
      <c r="P3" s="117" t="s">
        <v>209</v>
      </c>
      <c r="Q3" s="117" t="s">
        <v>204</v>
      </c>
      <c r="R3" s="480"/>
    </row>
    <row r="4" spans="1:18" x14ac:dyDescent="0.3">
      <c r="A4" s="122">
        <v>1</v>
      </c>
      <c r="B4" s="123" t="s">
        <v>210</v>
      </c>
      <c r="C4" s="124">
        <v>1</v>
      </c>
      <c r="D4" s="125">
        <v>12</v>
      </c>
      <c r="E4" s="124">
        <v>3</v>
      </c>
      <c r="F4" s="126">
        <v>1400000</v>
      </c>
      <c r="G4" s="127">
        <f>F4*E4*C4</f>
        <v>4200000</v>
      </c>
      <c r="H4" s="128">
        <v>12</v>
      </c>
      <c r="I4" s="129">
        <v>5</v>
      </c>
      <c r="J4" s="129">
        <f>I4*F4/100</f>
        <v>70000</v>
      </c>
      <c r="K4" s="126">
        <f>J4+F4</f>
        <v>1470000</v>
      </c>
      <c r="L4" s="126">
        <f>(9*F4*C4)+(3*K4*C4)</f>
        <v>17010000</v>
      </c>
      <c r="M4" s="126">
        <v>12</v>
      </c>
      <c r="N4" s="129">
        <v>5</v>
      </c>
      <c r="O4" s="129">
        <f>K4*N4/100</f>
        <v>73500</v>
      </c>
      <c r="P4" s="129">
        <f>K4+O4</f>
        <v>1543500</v>
      </c>
      <c r="Q4" s="126">
        <f>(9*K4*C4)+(3*P4*C4)</f>
        <v>17860500</v>
      </c>
      <c r="R4" s="130">
        <f>Q4+L4+G4</f>
        <v>39070500</v>
      </c>
    </row>
    <row r="5" spans="1:18" ht="29.4" customHeight="1" x14ac:dyDescent="0.3">
      <c r="A5" s="122">
        <v>2</v>
      </c>
      <c r="B5" s="131" t="s">
        <v>211</v>
      </c>
      <c r="C5" s="132">
        <v>1</v>
      </c>
      <c r="D5" s="132">
        <v>8</v>
      </c>
      <c r="E5" s="124">
        <v>1</v>
      </c>
      <c r="F5" s="126">
        <v>358750</v>
      </c>
      <c r="G5" s="127">
        <f>F5*E5*C5</f>
        <v>358750</v>
      </c>
      <c r="H5" s="128">
        <v>12</v>
      </c>
      <c r="I5" s="129">
        <v>8</v>
      </c>
      <c r="J5" s="129">
        <f t="shared" ref="J5:J6" si="0">I5*F5/100</f>
        <v>28700</v>
      </c>
      <c r="K5" s="126">
        <f t="shared" ref="K5:K6" si="1">J5+F5</f>
        <v>387450</v>
      </c>
      <c r="L5" s="126">
        <f>(11*F5*C5)+(1*K5*C5)</f>
        <v>4333700</v>
      </c>
      <c r="M5" s="126">
        <v>12</v>
      </c>
      <c r="N5" s="129">
        <v>8</v>
      </c>
      <c r="O5" s="129">
        <f t="shared" ref="O5:O6" si="2">K5*N5/100</f>
        <v>30996</v>
      </c>
      <c r="P5" s="129">
        <f t="shared" ref="P5:P6" si="3">K5+O5</f>
        <v>418446</v>
      </c>
      <c r="Q5" s="126">
        <f>(11*K5*C5)+(1*P5*C5)</f>
        <v>4680396</v>
      </c>
      <c r="R5" s="133">
        <f>Q5+L5+G5</f>
        <v>9372846</v>
      </c>
    </row>
    <row r="6" spans="1:18" x14ac:dyDescent="0.3">
      <c r="A6" s="122">
        <v>3</v>
      </c>
      <c r="B6" s="134" t="s">
        <v>212</v>
      </c>
      <c r="C6" s="132">
        <v>1</v>
      </c>
      <c r="D6" s="132">
        <v>7</v>
      </c>
      <c r="E6" s="124">
        <v>1</v>
      </c>
      <c r="F6" s="126">
        <v>258300</v>
      </c>
      <c r="G6" s="127">
        <f>F6*E6*C6</f>
        <v>258300</v>
      </c>
      <c r="H6" s="128">
        <v>12</v>
      </c>
      <c r="I6" s="129">
        <v>8</v>
      </c>
      <c r="J6" s="129">
        <f t="shared" si="0"/>
        <v>20664</v>
      </c>
      <c r="K6" s="126">
        <f t="shared" si="1"/>
        <v>278964</v>
      </c>
      <c r="L6" s="126">
        <f>(11*F6*C6)+(1*K6*C6)</f>
        <v>3120264</v>
      </c>
      <c r="M6" s="126">
        <v>12</v>
      </c>
      <c r="N6" s="129">
        <v>8</v>
      </c>
      <c r="O6" s="129">
        <f t="shared" si="2"/>
        <v>22317.119999999999</v>
      </c>
      <c r="P6" s="129">
        <f t="shared" si="3"/>
        <v>301281.12</v>
      </c>
      <c r="Q6" s="126">
        <f>(11*K6*C6)+(1*P6*C6)</f>
        <v>3369885.12</v>
      </c>
      <c r="R6" s="130">
        <f>Q6+L6+G6</f>
        <v>6748449.1200000001</v>
      </c>
    </row>
    <row r="7" spans="1:18" x14ac:dyDescent="0.3">
      <c r="A7" s="122"/>
      <c r="B7" s="485" t="s">
        <v>213</v>
      </c>
      <c r="C7" s="486"/>
      <c r="D7" s="486"/>
      <c r="E7" s="486"/>
      <c r="F7" s="486"/>
      <c r="G7" s="486"/>
      <c r="H7" s="486"/>
      <c r="I7" s="486"/>
      <c r="J7" s="486"/>
      <c r="K7" s="486"/>
      <c r="L7" s="486"/>
      <c r="M7" s="486"/>
      <c r="N7" s="486"/>
      <c r="O7" s="486"/>
      <c r="P7" s="486"/>
      <c r="Q7" s="486"/>
      <c r="R7" s="487"/>
    </row>
    <row r="8" spans="1:18" x14ac:dyDescent="0.3">
      <c r="A8" s="122">
        <v>4</v>
      </c>
      <c r="B8" s="135" t="s">
        <v>214</v>
      </c>
      <c r="C8" s="132">
        <v>1</v>
      </c>
      <c r="D8" s="132">
        <v>10</v>
      </c>
      <c r="E8" s="124">
        <v>1</v>
      </c>
      <c r="F8" s="126">
        <v>700000</v>
      </c>
      <c r="G8" s="127">
        <f>F8*E8*C8</f>
        <v>700000</v>
      </c>
      <c r="H8" s="128">
        <v>12</v>
      </c>
      <c r="I8" s="129">
        <v>5</v>
      </c>
      <c r="J8" s="129">
        <f t="shared" ref="J8:J14" si="4">I8*F8/100</f>
        <v>35000</v>
      </c>
      <c r="K8" s="126">
        <f t="shared" ref="K8:K54" si="5">J8+F8</f>
        <v>735000</v>
      </c>
      <c r="L8" s="126">
        <f t="shared" ref="L8:L14" si="6">(11*F8*C8)+(1*K8*C8)</f>
        <v>8435000</v>
      </c>
      <c r="M8" s="126">
        <v>12</v>
      </c>
      <c r="N8" s="129">
        <v>5</v>
      </c>
      <c r="O8" s="129">
        <f>K8*N8/100</f>
        <v>36750</v>
      </c>
      <c r="P8" s="129">
        <f>K8+O8</f>
        <v>771750</v>
      </c>
      <c r="Q8" s="126">
        <f t="shared" ref="Q8:Q14" si="7">(11*K8*C8)+(1*P8*C8)</f>
        <v>8856750</v>
      </c>
      <c r="R8" s="130">
        <f t="shared" ref="R8:R14" si="8">Q8+L8+G8</f>
        <v>17991750</v>
      </c>
    </row>
    <row r="9" spans="1:18" x14ac:dyDescent="0.3">
      <c r="A9" s="122">
        <v>5</v>
      </c>
      <c r="B9" s="135" t="s">
        <v>215</v>
      </c>
      <c r="C9" s="132">
        <v>1</v>
      </c>
      <c r="D9" s="132">
        <v>8</v>
      </c>
      <c r="E9" s="124">
        <v>1</v>
      </c>
      <c r="F9" s="126">
        <v>358750</v>
      </c>
      <c r="G9" s="127">
        <f t="shared" ref="G9:G54" si="9">F9*E9*C9</f>
        <v>358750</v>
      </c>
      <c r="H9" s="128">
        <v>12</v>
      </c>
      <c r="I9" s="129">
        <v>8</v>
      </c>
      <c r="J9" s="129">
        <f t="shared" si="4"/>
        <v>28700</v>
      </c>
      <c r="K9" s="126">
        <f t="shared" si="5"/>
        <v>387450</v>
      </c>
      <c r="L9" s="126">
        <f t="shared" si="6"/>
        <v>4333700</v>
      </c>
      <c r="M9" s="126">
        <v>12</v>
      </c>
      <c r="N9" s="129">
        <v>8</v>
      </c>
      <c r="O9" s="129">
        <f t="shared" ref="O9:O54" si="10">K9*N9/100</f>
        <v>30996</v>
      </c>
      <c r="P9" s="129">
        <f t="shared" ref="P9:P54" si="11">K9+O9</f>
        <v>418446</v>
      </c>
      <c r="Q9" s="126">
        <f t="shared" si="7"/>
        <v>4680396</v>
      </c>
      <c r="R9" s="130">
        <f t="shared" si="8"/>
        <v>9372846</v>
      </c>
    </row>
    <row r="10" spans="1:18" x14ac:dyDescent="0.3">
      <c r="A10" s="122">
        <v>6</v>
      </c>
      <c r="B10" s="136" t="s">
        <v>216</v>
      </c>
      <c r="C10" s="132">
        <v>2</v>
      </c>
      <c r="D10" s="132">
        <v>7</v>
      </c>
      <c r="E10" s="124">
        <v>1</v>
      </c>
      <c r="F10" s="126">
        <v>258300</v>
      </c>
      <c r="G10" s="127">
        <f t="shared" si="9"/>
        <v>516600</v>
      </c>
      <c r="H10" s="128">
        <v>12</v>
      </c>
      <c r="I10" s="129">
        <v>8</v>
      </c>
      <c r="J10" s="129">
        <f t="shared" si="4"/>
        <v>20664</v>
      </c>
      <c r="K10" s="126">
        <f t="shared" si="5"/>
        <v>278964</v>
      </c>
      <c r="L10" s="126">
        <f t="shared" si="6"/>
        <v>6240528</v>
      </c>
      <c r="M10" s="126">
        <v>12</v>
      </c>
      <c r="N10" s="129">
        <v>8</v>
      </c>
      <c r="O10" s="129">
        <f t="shared" si="10"/>
        <v>22317.119999999999</v>
      </c>
      <c r="P10" s="129">
        <f t="shared" si="11"/>
        <v>301281.12</v>
      </c>
      <c r="Q10" s="126">
        <f t="shared" si="7"/>
        <v>6739770.2400000002</v>
      </c>
      <c r="R10" s="130">
        <f t="shared" si="8"/>
        <v>13496898.24</v>
      </c>
    </row>
    <row r="11" spans="1:18" x14ac:dyDescent="0.3">
      <c r="A11" s="122">
        <v>7</v>
      </c>
      <c r="B11" s="136" t="s">
        <v>217</v>
      </c>
      <c r="C11" s="132">
        <v>1</v>
      </c>
      <c r="D11" s="132">
        <v>7</v>
      </c>
      <c r="E11" s="124">
        <v>1</v>
      </c>
      <c r="F11" s="126">
        <v>258300</v>
      </c>
      <c r="G11" s="127">
        <f>F11*E11*C11</f>
        <v>258300</v>
      </c>
      <c r="H11" s="128">
        <v>12</v>
      </c>
      <c r="I11" s="129">
        <v>8</v>
      </c>
      <c r="J11" s="129">
        <f t="shared" si="4"/>
        <v>20664</v>
      </c>
      <c r="K11" s="126">
        <f t="shared" si="5"/>
        <v>278964</v>
      </c>
      <c r="L11" s="126">
        <f t="shared" si="6"/>
        <v>3120264</v>
      </c>
      <c r="M11" s="126">
        <v>12</v>
      </c>
      <c r="N11" s="129">
        <v>8</v>
      </c>
      <c r="O11" s="129">
        <f>K11*N11/100</f>
        <v>22317.119999999999</v>
      </c>
      <c r="P11" s="129">
        <f>K11+O11</f>
        <v>301281.12</v>
      </c>
      <c r="Q11" s="126">
        <f t="shared" si="7"/>
        <v>3369885.12</v>
      </c>
      <c r="R11" s="130">
        <f t="shared" si="8"/>
        <v>6748449.1200000001</v>
      </c>
    </row>
    <row r="12" spans="1:18" x14ac:dyDescent="0.3">
      <c r="A12" s="122">
        <v>8</v>
      </c>
      <c r="B12" s="136" t="s">
        <v>218</v>
      </c>
      <c r="C12" s="132">
        <v>1</v>
      </c>
      <c r="D12" s="132">
        <v>8</v>
      </c>
      <c r="E12" s="124">
        <v>1</v>
      </c>
      <c r="F12" s="126">
        <v>358750</v>
      </c>
      <c r="G12" s="127">
        <f t="shared" si="9"/>
        <v>358750</v>
      </c>
      <c r="H12" s="128">
        <v>12</v>
      </c>
      <c r="I12" s="129">
        <v>8</v>
      </c>
      <c r="J12" s="129">
        <f t="shared" si="4"/>
        <v>28700</v>
      </c>
      <c r="K12" s="126">
        <f t="shared" si="5"/>
        <v>387450</v>
      </c>
      <c r="L12" s="126">
        <f t="shared" si="6"/>
        <v>4333700</v>
      </c>
      <c r="M12" s="126">
        <v>12</v>
      </c>
      <c r="N12" s="129">
        <v>8</v>
      </c>
      <c r="O12" s="129">
        <f t="shared" si="10"/>
        <v>30996</v>
      </c>
      <c r="P12" s="129">
        <f t="shared" si="11"/>
        <v>418446</v>
      </c>
      <c r="Q12" s="126">
        <f t="shared" si="7"/>
        <v>4680396</v>
      </c>
      <c r="R12" s="130">
        <f t="shared" si="8"/>
        <v>9372846</v>
      </c>
    </row>
    <row r="13" spans="1:18" x14ac:dyDescent="0.3">
      <c r="A13" s="122">
        <v>9</v>
      </c>
      <c r="B13" s="137" t="s">
        <v>219</v>
      </c>
      <c r="C13" s="132">
        <v>1</v>
      </c>
      <c r="D13" s="132">
        <v>8</v>
      </c>
      <c r="E13" s="124">
        <v>1</v>
      </c>
      <c r="F13" s="126">
        <v>358750</v>
      </c>
      <c r="G13" s="127">
        <f>F13*E13*C13</f>
        <v>358750</v>
      </c>
      <c r="H13" s="128">
        <v>12</v>
      </c>
      <c r="I13" s="129">
        <v>8</v>
      </c>
      <c r="J13" s="129">
        <f t="shared" si="4"/>
        <v>28700</v>
      </c>
      <c r="K13" s="126">
        <f t="shared" si="5"/>
        <v>387450</v>
      </c>
      <c r="L13" s="126">
        <f t="shared" si="6"/>
        <v>4333700</v>
      </c>
      <c r="M13" s="126">
        <v>12</v>
      </c>
      <c r="N13" s="129">
        <v>8</v>
      </c>
      <c r="O13" s="129">
        <f>K13*N13/100</f>
        <v>30996</v>
      </c>
      <c r="P13" s="129">
        <f>K13+O13</f>
        <v>418446</v>
      </c>
      <c r="Q13" s="126">
        <f t="shared" si="7"/>
        <v>4680396</v>
      </c>
      <c r="R13" s="130">
        <f t="shared" si="8"/>
        <v>9372846</v>
      </c>
    </row>
    <row r="14" spans="1:18" x14ac:dyDescent="0.3">
      <c r="A14" s="122">
        <v>10</v>
      </c>
      <c r="B14" s="136" t="s">
        <v>220</v>
      </c>
      <c r="C14" s="132">
        <v>1</v>
      </c>
      <c r="D14" s="132">
        <v>7</v>
      </c>
      <c r="E14" s="124">
        <v>1</v>
      </c>
      <c r="F14" s="126">
        <v>258300</v>
      </c>
      <c r="G14" s="127">
        <f>F14*E14*C14</f>
        <v>258300</v>
      </c>
      <c r="H14" s="128">
        <v>12</v>
      </c>
      <c r="I14" s="129">
        <v>8</v>
      </c>
      <c r="J14" s="129">
        <f t="shared" si="4"/>
        <v>20664</v>
      </c>
      <c r="K14" s="126">
        <f t="shared" si="5"/>
        <v>278964</v>
      </c>
      <c r="L14" s="126">
        <f t="shared" si="6"/>
        <v>3120264</v>
      </c>
      <c r="M14" s="126">
        <v>12</v>
      </c>
      <c r="N14" s="129">
        <v>8</v>
      </c>
      <c r="O14" s="129">
        <f>K14*N14/100</f>
        <v>22317.119999999999</v>
      </c>
      <c r="P14" s="129">
        <f>K14+O14</f>
        <v>301281.12</v>
      </c>
      <c r="Q14" s="126">
        <f t="shared" si="7"/>
        <v>3369885.12</v>
      </c>
      <c r="R14" s="130">
        <f t="shared" si="8"/>
        <v>6748449.1200000001</v>
      </c>
    </row>
    <row r="15" spans="1:18" x14ac:dyDescent="0.3">
      <c r="A15" s="122"/>
      <c r="B15" s="485" t="s">
        <v>221</v>
      </c>
      <c r="C15" s="486"/>
      <c r="D15" s="486"/>
      <c r="E15" s="486"/>
      <c r="F15" s="486"/>
      <c r="G15" s="486"/>
      <c r="H15" s="486"/>
      <c r="I15" s="486"/>
      <c r="J15" s="486"/>
      <c r="K15" s="486"/>
      <c r="L15" s="486"/>
      <c r="M15" s="486"/>
      <c r="N15" s="486"/>
      <c r="O15" s="486"/>
      <c r="P15" s="486"/>
      <c r="Q15" s="486"/>
      <c r="R15" s="487"/>
    </row>
    <row r="16" spans="1:18" x14ac:dyDescent="0.3">
      <c r="A16" s="122">
        <v>11</v>
      </c>
      <c r="B16" s="91" t="s">
        <v>222</v>
      </c>
      <c r="C16" s="132">
        <v>1</v>
      </c>
      <c r="D16" s="132">
        <v>11</v>
      </c>
      <c r="E16" s="124">
        <v>1</v>
      </c>
      <c r="F16" s="126">
        <v>980000</v>
      </c>
      <c r="G16" s="127">
        <f t="shared" si="9"/>
        <v>980000</v>
      </c>
      <c r="H16" s="128">
        <v>12</v>
      </c>
      <c r="I16" s="129">
        <v>5</v>
      </c>
      <c r="J16" s="129">
        <f t="shared" ref="J16:J18" si="12">I16*F16/100</f>
        <v>49000</v>
      </c>
      <c r="K16" s="126">
        <f t="shared" si="5"/>
        <v>1029000</v>
      </c>
      <c r="L16" s="126">
        <f t="shared" ref="L16:L18" si="13">(11*F16*C16)+(1*K16*C16)</f>
        <v>11809000</v>
      </c>
      <c r="M16" s="126">
        <v>12</v>
      </c>
      <c r="N16" s="129">
        <v>5</v>
      </c>
      <c r="O16" s="129">
        <f t="shared" si="10"/>
        <v>51450</v>
      </c>
      <c r="P16" s="129">
        <f t="shared" si="11"/>
        <v>1080450</v>
      </c>
      <c r="Q16" s="126">
        <f>(11*K16*C16)+(1*P16*C16)</f>
        <v>12399450</v>
      </c>
      <c r="R16" s="130">
        <f>Q16+L16+G16</f>
        <v>25188450</v>
      </c>
    </row>
    <row r="17" spans="1:20" x14ac:dyDescent="0.3">
      <c r="A17" s="122">
        <v>12</v>
      </c>
      <c r="B17" s="134" t="s">
        <v>223</v>
      </c>
      <c r="C17" s="132">
        <v>1</v>
      </c>
      <c r="D17" s="132">
        <v>9</v>
      </c>
      <c r="E17" s="124">
        <v>1</v>
      </c>
      <c r="F17" s="126">
        <v>502250</v>
      </c>
      <c r="G17" s="127">
        <f t="shared" si="9"/>
        <v>502250</v>
      </c>
      <c r="H17" s="128">
        <v>12</v>
      </c>
      <c r="I17" s="129">
        <v>8</v>
      </c>
      <c r="J17" s="129">
        <f t="shared" si="12"/>
        <v>40180</v>
      </c>
      <c r="K17" s="126">
        <f t="shared" si="5"/>
        <v>542430</v>
      </c>
      <c r="L17" s="126">
        <f t="shared" si="13"/>
        <v>6067180</v>
      </c>
      <c r="M17" s="126">
        <v>12</v>
      </c>
      <c r="N17" s="129">
        <v>8</v>
      </c>
      <c r="O17" s="129">
        <f t="shared" si="10"/>
        <v>43394.400000000001</v>
      </c>
      <c r="P17" s="129">
        <f t="shared" si="11"/>
        <v>585824.4</v>
      </c>
      <c r="Q17" s="126">
        <f>(11*K17*C17)+(1*P17*C17)</f>
        <v>6552554.4000000004</v>
      </c>
      <c r="R17" s="130">
        <f>Q17+L17+G17</f>
        <v>13121984.4</v>
      </c>
    </row>
    <row r="18" spans="1:20" x14ac:dyDescent="0.3">
      <c r="A18" s="122">
        <v>13</v>
      </c>
      <c r="B18" s="134" t="s">
        <v>224</v>
      </c>
      <c r="C18" s="132">
        <v>2</v>
      </c>
      <c r="D18" s="132">
        <v>8</v>
      </c>
      <c r="E18" s="124">
        <v>1</v>
      </c>
      <c r="F18" s="126">
        <v>358750</v>
      </c>
      <c r="G18" s="127">
        <f>F18*E18*C18</f>
        <v>717500</v>
      </c>
      <c r="H18" s="128">
        <v>12</v>
      </c>
      <c r="I18" s="129">
        <v>8</v>
      </c>
      <c r="J18" s="129">
        <f t="shared" si="12"/>
        <v>28700</v>
      </c>
      <c r="K18" s="126">
        <f t="shared" si="5"/>
        <v>387450</v>
      </c>
      <c r="L18" s="126">
        <f t="shared" si="13"/>
        <v>8667400</v>
      </c>
      <c r="M18" s="126">
        <v>12</v>
      </c>
      <c r="N18" s="129">
        <v>8</v>
      </c>
      <c r="O18" s="129">
        <f>K18*N18/100</f>
        <v>30996</v>
      </c>
      <c r="P18" s="129">
        <f>K18+O18</f>
        <v>418446</v>
      </c>
      <c r="Q18" s="126">
        <f>(11*K18*C18)+(1*P18*C18)</f>
        <v>9360792</v>
      </c>
      <c r="R18" s="130">
        <f>Q18+L18+G18</f>
        <v>18745692</v>
      </c>
    </row>
    <row r="19" spans="1:20" x14ac:dyDescent="0.3">
      <c r="A19" s="122"/>
      <c r="B19" s="485" t="s">
        <v>225</v>
      </c>
      <c r="C19" s="486"/>
      <c r="D19" s="486"/>
      <c r="E19" s="486"/>
      <c r="F19" s="486"/>
      <c r="G19" s="486"/>
      <c r="H19" s="486"/>
      <c r="I19" s="486"/>
      <c r="J19" s="486"/>
      <c r="K19" s="486"/>
      <c r="L19" s="486"/>
      <c r="M19" s="486"/>
      <c r="N19" s="486"/>
      <c r="O19" s="486"/>
      <c r="P19" s="486"/>
      <c r="Q19" s="486"/>
      <c r="R19" s="487"/>
    </row>
    <row r="20" spans="1:20" x14ac:dyDescent="0.3">
      <c r="A20" s="122">
        <v>14</v>
      </c>
      <c r="B20" s="136" t="s">
        <v>226</v>
      </c>
      <c r="C20" s="132">
        <v>1</v>
      </c>
      <c r="D20" s="132">
        <v>10</v>
      </c>
      <c r="E20" s="124">
        <v>1</v>
      </c>
      <c r="F20" s="126">
        <v>700000</v>
      </c>
      <c r="G20" s="127">
        <f t="shared" si="9"/>
        <v>700000</v>
      </c>
      <c r="H20" s="128">
        <v>12</v>
      </c>
      <c r="I20" s="129">
        <v>5</v>
      </c>
      <c r="J20" s="129">
        <f t="shared" ref="J20:J23" si="14">I20*F20/100</f>
        <v>35000</v>
      </c>
      <c r="K20" s="126">
        <f t="shared" si="5"/>
        <v>735000</v>
      </c>
      <c r="L20" s="126">
        <f t="shared" ref="L20:L23" si="15">(11*F20*C20)+(1*K20*C20)</f>
        <v>8435000</v>
      </c>
      <c r="M20" s="126">
        <v>12</v>
      </c>
      <c r="N20" s="129">
        <v>5</v>
      </c>
      <c r="O20" s="129">
        <f t="shared" si="10"/>
        <v>36750</v>
      </c>
      <c r="P20" s="129">
        <f t="shared" si="11"/>
        <v>771750</v>
      </c>
      <c r="Q20" s="126">
        <f>(11*K20*C20)+(1*P20*C20)</f>
        <v>8856750</v>
      </c>
      <c r="R20" s="130">
        <f>Q20+L20+G20</f>
        <v>17991750</v>
      </c>
    </row>
    <row r="21" spans="1:20" x14ac:dyDescent="0.3">
      <c r="A21" s="122">
        <v>15</v>
      </c>
      <c r="B21" s="136" t="s">
        <v>227</v>
      </c>
      <c r="C21" s="138">
        <v>1</v>
      </c>
      <c r="D21" s="132">
        <v>8</v>
      </c>
      <c r="E21" s="124">
        <v>1</v>
      </c>
      <c r="F21" s="126">
        <v>358750</v>
      </c>
      <c r="G21" s="127">
        <f t="shared" si="9"/>
        <v>358750</v>
      </c>
      <c r="H21" s="128">
        <v>12</v>
      </c>
      <c r="I21" s="129">
        <v>8</v>
      </c>
      <c r="J21" s="129">
        <f t="shared" si="14"/>
        <v>28700</v>
      </c>
      <c r="K21" s="126">
        <f t="shared" si="5"/>
        <v>387450</v>
      </c>
      <c r="L21" s="126">
        <f t="shared" si="15"/>
        <v>4333700</v>
      </c>
      <c r="M21" s="126">
        <v>12</v>
      </c>
      <c r="N21" s="129">
        <v>8</v>
      </c>
      <c r="O21" s="129">
        <f t="shared" si="10"/>
        <v>30996</v>
      </c>
      <c r="P21" s="129">
        <f t="shared" si="11"/>
        <v>418446</v>
      </c>
      <c r="Q21" s="126">
        <f>(11*K21*C21)+(1*P21*C21)</f>
        <v>4680396</v>
      </c>
      <c r="R21" s="130">
        <f>Q21+L21+G21</f>
        <v>9372846</v>
      </c>
    </row>
    <row r="22" spans="1:20" x14ac:dyDescent="0.3">
      <c r="A22" s="122">
        <v>16</v>
      </c>
      <c r="B22" s="136" t="s">
        <v>228</v>
      </c>
      <c r="C22" s="132">
        <v>1</v>
      </c>
      <c r="D22" s="132">
        <v>8</v>
      </c>
      <c r="E22" s="124">
        <v>1</v>
      </c>
      <c r="F22" s="126">
        <v>358750</v>
      </c>
      <c r="G22" s="127">
        <f>F22*E22*C22</f>
        <v>358750</v>
      </c>
      <c r="H22" s="128">
        <v>12</v>
      </c>
      <c r="I22" s="129">
        <v>8</v>
      </c>
      <c r="J22" s="129">
        <f t="shared" si="14"/>
        <v>28700</v>
      </c>
      <c r="K22" s="126">
        <f t="shared" si="5"/>
        <v>387450</v>
      </c>
      <c r="L22" s="126">
        <f t="shared" si="15"/>
        <v>4333700</v>
      </c>
      <c r="M22" s="126">
        <v>12</v>
      </c>
      <c r="N22" s="129">
        <v>8</v>
      </c>
      <c r="O22" s="129">
        <f>K22*N22/100</f>
        <v>30996</v>
      </c>
      <c r="P22" s="129">
        <f>K22+O22</f>
        <v>418446</v>
      </c>
      <c r="Q22" s="126">
        <f>(11*K22*C22)+(1*P22*C22)</f>
        <v>4680396</v>
      </c>
      <c r="R22" s="130">
        <f>Q22+L22+G22</f>
        <v>9372846</v>
      </c>
    </row>
    <row r="23" spans="1:20" x14ac:dyDescent="0.3">
      <c r="A23" s="122">
        <v>17</v>
      </c>
      <c r="B23" s="136" t="s">
        <v>229</v>
      </c>
      <c r="C23" s="132">
        <v>2</v>
      </c>
      <c r="D23" s="132">
        <v>7</v>
      </c>
      <c r="E23" s="124">
        <v>1</v>
      </c>
      <c r="F23" s="126">
        <v>200000</v>
      </c>
      <c r="G23" s="127">
        <f>F23*E23*C23</f>
        <v>400000</v>
      </c>
      <c r="H23" s="128">
        <v>12</v>
      </c>
      <c r="I23" s="129">
        <v>8</v>
      </c>
      <c r="J23" s="129">
        <f t="shared" si="14"/>
        <v>16000</v>
      </c>
      <c r="K23" s="126">
        <f t="shared" si="5"/>
        <v>216000</v>
      </c>
      <c r="L23" s="126">
        <f t="shared" si="15"/>
        <v>4832000</v>
      </c>
      <c r="M23" s="126">
        <v>12</v>
      </c>
      <c r="N23" s="129">
        <v>8</v>
      </c>
      <c r="O23" s="129">
        <f>K23*N23/100</f>
        <v>17280</v>
      </c>
      <c r="P23" s="129">
        <f>K23+O23</f>
        <v>233280</v>
      </c>
      <c r="Q23" s="126">
        <f>(11*K23*C23)+(1*P23*C23)</f>
        <v>5218560</v>
      </c>
      <c r="R23" s="130">
        <f>Q23+L23+G23</f>
        <v>10450560</v>
      </c>
    </row>
    <row r="24" spans="1:20" x14ac:dyDescent="0.3">
      <c r="A24" s="122"/>
      <c r="B24" s="485" t="s">
        <v>230</v>
      </c>
      <c r="C24" s="486"/>
      <c r="D24" s="486"/>
      <c r="E24" s="486"/>
      <c r="F24" s="486"/>
      <c r="G24" s="486"/>
      <c r="H24" s="486"/>
      <c r="I24" s="486"/>
      <c r="J24" s="486"/>
      <c r="K24" s="486"/>
      <c r="L24" s="486"/>
      <c r="M24" s="486"/>
      <c r="N24" s="486"/>
      <c r="O24" s="486"/>
      <c r="P24" s="486"/>
      <c r="Q24" s="486"/>
      <c r="R24" s="487"/>
      <c r="T24" s="116">
        <v>78379200</v>
      </c>
    </row>
    <row r="25" spans="1:20" x14ac:dyDescent="0.3">
      <c r="A25" s="122">
        <v>18</v>
      </c>
      <c r="B25" s="136" t="s">
        <v>231</v>
      </c>
      <c r="C25" s="132">
        <v>10</v>
      </c>
      <c r="D25" s="132">
        <v>9</v>
      </c>
      <c r="E25" s="124">
        <v>1</v>
      </c>
      <c r="F25" s="126">
        <v>300000</v>
      </c>
      <c r="G25" s="127">
        <f t="shared" si="9"/>
        <v>3000000</v>
      </c>
      <c r="H25" s="128">
        <v>12</v>
      </c>
      <c r="I25" s="129">
        <v>8</v>
      </c>
      <c r="J25" s="129">
        <f t="shared" ref="J25:J26" si="16">I25*F25/100</f>
        <v>24000</v>
      </c>
      <c r="K25" s="126">
        <f t="shared" si="5"/>
        <v>324000</v>
      </c>
      <c r="L25" s="126">
        <f t="shared" ref="L25:L26" si="17">(11*F25*C25)+(1*K25*C25)</f>
        <v>36240000</v>
      </c>
      <c r="M25" s="126">
        <v>12</v>
      </c>
      <c r="N25" s="129">
        <v>8</v>
      </c>
      <c r="O25" s="129">
        <f t="shared" si="10"/>
        <v>25920</v>
      </c>
      <c r="P25" s="129">
        <f t="shared" si="11"/>
        <v>349920</v>
      </c>
      <c r="Q25" s="126">
        <f>(11*K25*C25)+(1*P25*C25)</f>
        <v>39139200</v>
      </c>
      <c r="R25" s="130">
        <f>Q25+L25+G25</f>
        <v>78379200</v>
      </c>
      <c r="T25" s="116">
        <v>235137600</v>
      </c>
    </row>
    <row r="26" spans="1:20" x14ac:dyDescent="0.3">
      <c r="A26" s="122">
        <v>19</v>
      </c>
      <c r="B26" s="136" t="s">
        <v>232</v>
      </c>
      <c r="C26" s="132">
        <v>40</v>
      </c>
      <c r="D26" s="132">
        <v>8</v>
      </c>
      <c r="E26" s="124">
        <v>1</v>
      </c>
      <c r="F26" s="126">
        <v>225000</v>
      </c>
      <c r="G26" s="127">
        <f t="shared" si="9"/>
        <v>9000000</v>
      </c>
      <c r="H26" s="128">
        <v>12</v>
      </c>
      <c r="I26" s="129">
        <v>8</v>
      </c>
      <c r="J26" s="129">
        <f t="shared" si="16"/>
        <v>18000</v>
      </c>
      <c r="K26" s="126">
        <f t="shared" si="5"/>
        <v>243000</v>
      </c>
      <c r="L26" s="126">
        <f t="shared" si="17"/>
        <v>108720000</v>
      </c>
      <c r="M26" s="126">
        <v>12</v>
      </c>
      <c r="N26" s="129">
        <v>8</v>
      </c>
      <c r="O26" s="129">
        <f t="shared" si="10"/>
        <v>19440</v>
      </c>
      <c r="P26" s="129">
        <f t="shared" si="11"/>
        <v>262440</v>
      </c>
      <c r="Q26" s="126">
        <f>(11*K26*C26)+(1*P26*C26)</f>
        <v>117417600</v>
      </c>
      <c r="R26" s="130">
        <f>Q26+L26+G26</f>
        <v>235137600</v>
      </c>
      <c r="T26" s="116">
        <f>SUM(T24:T25)</f>
        <v>313516800</v>
      </c>
    </row>
    <row r="27" spans="1:20" x14ac:dyDescent="0.3">
      <c r="A27" s="122"/>
      <c r="B27" s="485" t="s">
        <v>233</v>
      </c>
      <c r="C27" s="486"/>
      <c r="D27" s="486"/>
      <c r="E27" s="486"/>
      <c r="F27" s="486"/>
      <c r="G27" s="486"/>
      <c r="H27" s="486"/>
      <c r="I27" s="486"/>
      <c r="J27" s="486"/>
      <c r="K27" s="486"/>
      <c r="L27" s="486"/>
      <c r="M27" s="486"/>
      <c r="N27" s="486"/>
      <c r="O27" s="486"/>
      <c r="P27" s="486"/>
      <c r="Q27" s="486"/>
      <c r="R27" s="487"/>
    </row>
    <row r="28" spans="1:20" ht="19.2" customHeight="1" x14ac:dyDescent="0.3">
      <c r="A28" s="122">
        <v>20</v>
      </c>
      <c r="B28" s="131" t="s">
        <v>234</v>
      </c>
      <c r="C28" s="138">
        <v>1</v>
      </c>
      <c r="D28" s="138">
        <v>11</v>
      </c>
      <c r="E28" s="124">
        <v>1</v>
      </c>
      <c r="F28" s="126">
        <v>980000</v>
      </c>
      <c r="G28" s="127">
        <f t="shared" si="9"/>
        <v>980000</v>
      </c>
      <c r="H28" s="128">
        <v>12</v>
      </c>
      <c r="I28" s="129">
        <v>5</v>
      </c>
      <c r="J28" s="129">
        <f t="shared" ref="J28:J41" si="18">I28*F28/100</f>
        <v>49000</v>
      </c>
      <c r="K28" s="126">
        <f t="shared" si="5"/>
        <v>1029000</v>
      </c>
      <c r="L28" s="126">
        <f t="shared" ref="L28:L41" si="19">(11*F28*C28)+(1*K28*C28)</f>
        <v>11809000</v>
      </c>
      <c r="M28" s="126">
        <v>12</v>
      </c>
      <c r="N28" s="129">
        <v>5</v>
      </c>
      <c r="O28" s="129">
        <f t="shared" si="10"/>
        <v>51450</v>
      </c>
      <c r="P28" s="129">
        <f t="shared" si="11"/>
        <v>1080450</v>
      </c>
      <c r="Q28" s="126">
        <f t="shared" ref="Q28:Q41" si="20">(11*K28*C28)+(1*P28*C28)</f>
        <v>12399450</v>
      </c>
      <c r="R28" s="130">
        <f t="shared" ref="R28:R41" si="21">Q28+L28+G28</f>
        <v>25188450</v>
      </c>
    </row>
    <row r="29" spans="1:20" ht="31.2" x14ac:dyDescent="0.3">
      <c r="A29" s="122">
        <v>21</v>
      </c>
      <c r="B29" s="139" t="s">
        <v>235</v>
      </c>
      <c r="C29" s="138">
        <v>1</v>
      </c>
      <c r="D29" s="138">
        <v>10</v>
      </c>
      <c r="E29" s="124">
        <v>1</v>
      </c>
      <c r="F29" s="126">
        <v>700000</v>
      </c>
      <c r="G29" s="127">
        <f t="shared" si="9"/>
        <v>700000</v>
      </c>
      <c r="H29" s="128">
        <v>12</v>
      </c>
      <c r="I29" s="129">
        <v>5</v>
      </c>
      <c r="J29" s="129">
        <f t="shared" si="18"/>
        <v>35000</v>
      </c>
      <c r="K29" s="126">
        <f t="shared" si="5"/>
        <v>735000</v>
      </c>
      <c r="L29" s="126">
        <f t="shared" si="19"/>
        <v>8435000</v>
      </c>
      <c r="M29" s="126">
        <v>12</v>
      </c>
      <c r="N29" s="129">
        <v>5</v>
      </c>
      <c r="O29" s="129">
        <f t="shared" si="10"/>
        <v>36750</v>
      </c>
      <c r="P29" s="129">
        <f t="shared" si="11"/>
        <v>771750</v>
      </c>
      <c r="Q29" s="126">
        <f t="shared" si="20"/>
        <v>8856750</v>
      </c>
      <c r="R29" s="130">
        <f t="shared" si="21"/>
        <v>17991750</v>
      </c>
    </row>
    <row r="30" spans="1:20" ht="23.4" customHeight="1" x14ac:dyDescent="0.3">
      <c r="A30" s="122">
        <v>22</v>
      </c>
      <c r="B30" s="139" t="s">
        <v>236</v>
      </c>
      <c r="C30" s="138">
        <v>1</v>
      </c>
      <c r="D30" s="138">
        <v>10</v>
      </c>
      <c r="E30" s="124">
        <v>1</v>
      </c>
      <c r="F30" s="126">
        <v>700000</v>
      </c>
      <c r="G30" s="127">
        <f t="shared" si="9"/>
        <v>700000</v>
      </c>
      <c r="H30" s="128">
        <v>12</v>
      </c>
      <c r="I30" s="129">
        <v>5</v>
      </c>
      <c r="J30" s="129">
        <f t="shared" si="18"/>
        <v>35000</v>
      </c>
      <c r="K30" s="126">
        <f t="shared" si="5"/>
        <v>735000</v>
      </c>
      <c r="L30" s="126">
        <f t="shared" si="19"/>
        <v>8435000</v>
      </c>
      <c r="M30" s="126">
        <v>12</v>
      </c>
      <c r="N30" s="129">
        <v>5</v>
      </c>
      <c r="O30" s="129">
        <f t="shared" si="10"/>
        <v>36750</v>
      </c>
      <c r="P30" s="129">
        <f t="shared" si="11"/>
        <v>771750</v>
      </c>
      <c r="Q30" s="126">
        <f t="shared" si="20"/>
        <v>8856750</v>
      </c>
      <c r="R30" s="130">
        <f t="shared" si="21"/>
        <v>17991750</v>
      </c>
    </row>
    <row r="31" spans="1:20" ht="19.8" customHeight="1" x14ac:dyDescent="0.3">
      <c r="A31" s="122">
        <v>23</v>
      </c>
      <c r="B31" s="139" t="s">
        <v>71</v>
      </c>
      <c r="C31" s="138">
        <v>1</v>
      </c>
      <c r="D31" s="138">
        <v>10</v>
      </c>
      <c r="E31" s="124">
        <v>1</v>
      </c>
      <c r="F31" s="126">
        <v>700000</v>
      </c>
      <c r="G31" s="127">
        <f t="shared" si="9"/>
        <v>700000</v>
      </c>
      <c r="H31" s="128">
        <v>12</v>
      </c>
      <c r="I31" s="129">
        <v>5</v>
      </c>
      <c r="J31" s="129">
        <f t="shared" si="18"/>
        <v>35000</v>
      </c>
      <c r="K31" s="126">
        <f t="shared" si="5"/>
        <v>735000</v>
      </c>
      <c r="L31" s="126">
        <f t="shared" si="19"/>
        <v>8435000</v>
      </c>
      <c r="M31" s="126">
        <v>12</v>
      </c>
      <c r="N31" s="129">
        <v>5</v>
      </c>
      <c r="O31" s="129">
        <f t="shared" si="10"/>
        <v>36750</v>
      </c>
      <c r="P31" s="129">
        <f t="shared" si="11"/>
        <v>771750</v>
      </c>
      <c r="Q31" s="126">
        <f t="shared" si="20"/>
        <v>8856750</v>
      </c>
      <c r="R31" s="130">
        <f t="shared" si="21"/>
        <v>17991750</v>
      </c>
    </row>
    <row r="32" spans="1:20" ht="19.8" customHeight="1" x14ac:dyDescent="0.3">
      <c r="A32" s="122">
        <v>24</v>
      </c>
      <c r="B32" s="139" t="s">
        <v>237</v>
      </c>
      <c r="C32" s="138">
        <v>1</v>
      </c>
      <c r="D32" s="138">
        <v>10</v>
      </c>
      <c r="E32" s="124">
        <v>1</v>
      </c>
      <c r="F32" s="126">
        <v>700000</v>
      </c>
      <c r="G32" s="127">
        <f t="shared" si="9"/>
        <v>700000</v>
      </c>
      <c r="H32" s="128">
        <v>12</v>
      </c>
      <c r="I32" s="129">
        <v>5</v>
      </c>
      <c r="J32" s="129">
        <f t="shared" si="18"/>
        <v>35000</v>
      </c>
      <c r="K32" s="126">
        <f t="shared" si="5"/>
        <v>735000</v>
      </c>
      <c r="L32" s="126">
        <f t="shared" si="19"/>
        <v>8435000</v>
      </c>
      <c r="M32" s="126">
        <v>12</v>
      </c>
      <c r="N32" s="129">
        <v>5</v>
      </c>
      <c r="O32" s="129">
        <f t="shared" si="10"/>
        <v>36750</v>
      </c>
      <c r="P32" s="129">
        <f t="shared" si="11"/>
        <v>771750</v>
      </c>
      <c r="Q32" s="126">
        <f t="shared" si="20"/>
        <v>8856750</v>
      </c>
      <c r="R32" s="130">
        <f t="shared" si="21"/>
        <v>17991750</v>
      </c>
    </row>
    <row r="33" spans="1:18" ht="19.8" customHeight="1" x14ac:dyDescent="0.3">
      <c r="A33" s="122">
        <v>25</v>
      </c>
      <c r="B33" s="139" t="s">
        <v>238</v>
      </c>
      <c r="C33" s="138">
        <v>1</v>
      </c>
      <c r="D33" s="138">
        <v>10</v>
      </c>
      <c r="E33" s="124">
        <v>1</v>
      </c>
      <c r="F33" s="126">
        <v>700000</v>
      </c>
      <c r="G33" s="127">
        <f t="shared" si="9"/>
        <v>700000</v>
      </c>
      <c r="H33" s="128">
        <v>12</v>
      </c>
      <c r="I33" s="129">
        <v>5</v>
      </c>
      <c r="J33" s="129">
        <f t="shared" si="18"/>
        <v>35000</v>
      </c>
      <c r="K33" s="126">
        <f t="shared" si="5"/>
        <v>735000</v>
      </c>
      <c r="L33" s="126">
        <f t="shared" si="19"/>
        <v>8435000</v>
      </c>
      <c r="M33" s="126">
        <v>12</v>
      </c>
      <c r="N33" s="129">
        <v>5</v>
      </c>
      <c r="O33" s="129">
        <f t="shared" si="10"/>
        <v>36750</v>
      </c>
      <c r="P33" s="129">
        <f t="shared" si="11"/>
        <v>771750</v>
      </c>
      <c r="Q33" s="126">
        <f t="shared" si="20"/>
        <v>8856750</v>
      </c>
      <c r="R33" s="130">
        <f t="shared" si="21"/>
        <v>17991750</v>
      </c>
    </row>
    <row r="34" spans="1:18" ht="19.8" customHeight="1" x14ac:dyDescent="0.3">
      <c r="A34" s="122">
        <v>26</v>
      </c>
      <c r="B34" s="139" t="s">
        <v>239</v>
      </c>
      <c r="C34" s="138">
        <v>1</v>
      </c>
      <c r="D34" s="138">
        <v>10</v>
      </c>
      <c r="E34" s="124">
        <v>1</v>
      </c>
      <c r="F34" s="126">
        <v>700000</v>
      </c>
      <c r="G34" s="127">
        <f t="shared" si="9"/>
        <v>700000</v>
      </c>
      <c r="H34" s="128">
        <v>12</v>
      </c>
      <c r="I34" s="129">
        <v>5</v>
      </c>
      <c r="J34" s="129">
        <f t="shared" si="18"/>
        <v>35000</v>
      </c>
      <c r="K34" s="126">
        <f t="shared" si="5"/>
        <v>735000</v>
      </c>
      <c r="L34" s="126">
        <f t="shared" si="19"/>
        <v>8435000</v>
      </c>
      <c r="M34" s="126">
        <v>12</v>
      </c>
      <c r="N34" s="129">
        <v>5</v>
      </c>
      <c r="O34" s="129">
        <f t="shared" si="10"/>
        <v>36750</v>
      </c>
      <c r="P34" s="129">
        <f t="shared" si="11"/>
        <v>771750</v>
      </c>
      <c r="Q34" s="126">
        <f t="shared" si="20"/>
        <v>8856750</v>
      </c>
      <c r="R34" s="130">
        <f t="shared" si="21"/>
        <v>17991750</v>
      </c>
    </row>
    <row r="35" spans="1:18" ht="22.2" customHeight="1" x14ac:dyDescent="0.3">
      <c r="A35" s="122">
        <v>27</v>
      </c>
      <c r="B35" s="139" t="s">
        <v>240</v>
      </c>
      <c r="C35" s="138">
        <v>1</v>
      </c>
      <c r="D35" s="138">
        <v>9</v>
      </c>
      <c r="E35" s="124">
        <v>1</v>
      </c>
      <c r="F35" s="126">
        <v>502250</v>
      </c>
      <c r="G35" s="127">
        <f t="shared" si="9"/>
        <v>502250</v>
      </c>
      <c r="H35" s="128">
        <v>12</v>
      </c>
      <c r="I35" s="129">
        <v>8</v>
      </c>
      <c r="J35" s="129">
        <f t="shared" si="18"/>
        <v>40180</v>
      </c>
      <c r="K35" s="126">
        <f t="shared" si="5"/>
        <v>542430</v>
      </c>
      <c r="L35" s="126">
        <f t="shared" si="19"/>
        <v>6067180</v>
      </c>
      <c r="M35" s="126">
        <v>12</v>
      </c>
      <c r="N35" s="129">
        <v>8</v>
      </c>
      <c r="O35" s="129">
        <f t="shared" si="10"/>
        <v>43394.400000000001</v>
      </c>
      <c r="P35" s="129">
        <f t="shared" si="11"/>
        <v>585824.4</v>
      </c>
      <c r="Q35" s="126">
        <f t="shared" si="20"/>
        <v>6552554.4000000004</v>
      </c>
      <c r="R35" s="130">
        <f t="shared" si="21"/>
        <v>13121984.4</v>
      </c>
    </row>
    <row r="36" spans="1:18" ht="22.2" customHeight="1" x14ac:dyDescent="0.3">
      <c r="A36" s="122">
        <v>28</v>
      </c>
      <c r="B36" s="140" t="s">
        <v>78</v>
      </c>
      <c r="C36" s="138">
        <v>1</v>
      </c>
      <c r="D36" s="138">
        <v>9</v>
      </c>
      <c r="E36" s="124">
        <v>1</v>
      </c>
      <c r="F36" s="126">
        <v>502250</v>
      </c>
      <c r="G36" s="127">
        <f t="shared" si="9"/>
        <v>502250</v>
      </c>
      <c r="H36" s="128">
        <v>12</v>
      </c>
      <c r="I36" s="129">
        <v>8</v>
      </c>
      <c r="J36" s="129">
        <f t="shared" si="18"/>
        <v>40180</v>
      </c>
      <c r="K36" s="126">
        <f t="shared" si="5"/>
        <v>542430</v>
      </c>
      <c r="L36" s="126">
        <f t="shared" si="19"/>
        <v>6067180</v>
      </c>
      <c r="M36" s="126">
        <v>12</v>
      </c>
      <c r="N36" s="129">
        <v>8</v>
      </c>
      <c r="O36" s="129">
        <f t="shared" si="10"/>
        <v>43394.400000000001</v>
      </c>
      <c r="P36" s="129">
        <f t="shared" si="11"/>
        <v>585824.4</v>
      </c>
      <c r="Q36" s="126">
        <f t="shared" si="20"/>
        <v>6552554.4000000004</v>
      </c>
      <c r="R36" s="130">
        <f t="shared" si="21"/>
        <v>13121984.4</v>
      </c>
    </row>
    <row r="37" spans="1:18" ht="22.2" customHeight="1" x14ac:dyDescent="0.3">
      <c r="A37" s="122">
        <v>29</v>
      </c>
      <c r="B37" s="139" t="s">
        <v>68</v>
      </c>
      <c r="C37" s="138">
        <v>2</v>
      </c>
      <c r="D37" s="138">
        <v>9</v>
      </c>
      <c r="E37" s="124">
        <v>1</v>
      </c>
      <c r="F37" s="126">
        <v>502250</v>
      </c>
      <c r="G37" s="127">
        <f t="shared" si="9"/>
        <v>1004500</v>
      </c>
      <c r="H37" s="128">
        <v>12</v>
      </c>
      <c r="I37" s="129">
        <v>8</v>
      </c>
      <c r="J37" s="129">
        <f t="shared" si="18"/>
        <v>40180</v>
      </c>
      <c r="K37" s="126">
        <f t="shared" si="5"/>
        <v>542430</v>
      </c>
      <c r="L37" s="126">
        <f t="shared" si="19"/>
        <v>12134360</v>
      </c>
      <c r="M37" s="126">
        <v>12</v>
      </c>
      <c r="N37" s="129">
        <v>8</v>
      </c>
      <c r="O37" s="129">
        <f t="shared" si="10"/>
        <v>43394.400000000001</v>
      </c>
      <c r="P37" s="129">
        <f t="shared" si="11"/>
        <v>585824.4</v>
      </c>
      <c r="Q37" s="126">
        <f t="shared" si="20"/>
        <v>13105108.800000001</v>
      </c>
      <c r="R37" s="130">
        <f t="shared" si="21"/>
        <v>26243968.800000001</v>
      </c>
    </row>
    <row r="38" spans="1:18" ht="22.2" customHeight="1" x14ac:dyDescent="0.3">
      <c r="A38" s="122">
        <v>30</v>
      </c>
      <c r="B38" s="139" t="s">
        <v>72</v>
      </c>
      <c r="C38" s="138">
        <v>2</v>
      </c>
      <c r="D38" s="138">
        <v>8</v>
      </c>
      <c r="E38" s="124">
        <v>1</v>
      </c>
      <c r="F38" s="126">
        <v>358750</v>
      </c>
      <c r="G38" s="127">
        <f t="shared" si="9"/>
        <v>717500</v>
      </c>
      <c r="H38" s="128">
        <v>12</v>
      </c>
      <c r="I38" s="129">
        <v>8</v>
      </c>
      <c r="J38" s="129">
        <f t="shared" si="18"/>
        <v>28700</v>
      </c>
      <c r="K38" s="126">
        <f t="shared" si="5"/>
        <v>387450</v>
      </c>
      <c r="L38" s="126">
        <f t="shared" si="19"/>
        <v>8667400</v>
      </c>
      <c r="M38" s="126">
        <v>12</v>
      </c>
      <c r="N38" s="129">
        <v>8</v>
      </c>
      <c r="O38" s="129">
        <f t="shared" si="10"/>
        <v>30996</v>
      </c>
      <c r="P38" s="129">
        <f t="shared" si="11"/>
        <v>418446</v>
      </c>
      <c r="Q38" s="126">
        <f t="shared" si="20"/>
        <v>9360792</v>
      </c>
      <c r="R38" s="130">
        <f t="shared" si="21"/>
        <v>18745692</v>
      </c>
    </row>
    <row r="39" spans="1:18" ht="22.2" customHeight="1" x14ac:dyDescent="0.3">
      <c r="A39" s="122">
        <v>31</v>
      </c>
      <c r="B39" s="139" t="s">
        <v>69</v>
      </c>
      <c r="C39" s="138">
        <v>3</v>
      </c>
      <c r="D39" s="138">
        <v>8</v>
      </c>
      <c r="E39" s="124">
        <v>1</v>
      </c>
      <c r="F39" s="126">
        <v>358750</v>
      </c>
      <c r="G39" s="127">
        <f t="shared" si="9"/>
        <v>1076250</v>
      </c>
      <c r="H39" s="128">
        <v>12</v>
      </c>
      <c r="I39" s="129">
        <v>8</v>
      </c>
      <c r="J39" s="129">
        <f t="shared" si="18"/>
        <v>28700</v>
      </c>
      <c r="K39" s="126">
        <f t="shared" si="5"/>
        <v>387450</v>
      </c>
      <c r="L39" s="126">
        <f t="shared" si="19"/>
        <v>13001100</v>
      </c>
      <c r="M39" s="126">
        <v>12</v>
      </c>
      <c r="N39" s="129">
        <v>8</v>
      </c>
      <c r="O39" s="129">
        <f t="shared" si="10"/>
        <v>30996</v>
      </c>
      <c r="P39" s="129">
        <f t="shared" si="11"/>
        <v>418446</v>
      </c>
      <c r="Q39" s="126">
        <f t="shared" si="20"/>
        <v>14041188</v>
      </c>
      <c r="R39" s="130">
        <f t="shared" si="21"/>
        <v>28118538</v>
      </c>
    </row>
    <row r="40" spans="1:18" s="147" customFormat="1" x14ac:dyDescent="0.3">
      <c r="A40" s="122">
        <v>32</v>
      </c>
      <c r="B40" s="139" t="s">
        <v>241</v>
      </c>
      <c r="C40" s="141">
        <v>1</v>
      </c>
      <c r="D40" s="141">
        <v>8</v>
      </c>
      <c r="E40" s="141">
        <v>1</v>
      </c>
      <c r="F40" s="142">
        <v>358750</v>
      </c>
      <c r="G40" s="143">
        <f t="shared" si="9"/>
        <v>358750</v>
      </c>
      <c r="H40" s="144">
        <v>12</v>
      </c>
      <c r="I40" s="145">
        <v>8</v>
      </c>
      <c r="J40" s="129">
        <f t="shared" si="18"/>
        <v>28700</v>
      </c>
      <c r="K40" s="126">
        <f t="shared" si="5"/>
        <v>387450</v>
      </c>
      <c r="L40" s="126">
        <f t="shared" si="19"/>
        <v>4333700</v>
      </c>
      <c r="M40" s="142">
        <v>12</v>
      </c>
      <c r="N40" s="145">
        <v>8</v>
      </c>
      <c r="O40" s="145">
        <f t="shared" si="10"/>
        <v>30996</v>
      </c>
      <c r="P40" s="145">
        <f t="shared" si="11"/>
        <v>418446</v>
      </c>
      <c r="Q40" s="126">
        <f t="shared" si="20"/>
        <v>4680396</v>
      </c>
      <c r="R40" s="146">
        <f t="shared" si="21"/>
        <v>9372846</v>
      </c>
    </row>
    <row r="41" spans="1:18" ht="22.2" customHeight="1" x14ac:dyDescent="0.3">
      <c r="A41" s="122">
        <v>33</v>
      </c>
      <c r="B41" s="139" t="s">
        <v>242</v>
      </c>
      <c r="C41" s="124">
        <v>1</v>
      </c>
      <c r="D41" s="124">
        <v>7</v>
      </c>
      <c r="E41" s="124">
        <v>1</v>
      </c>
      <c r="F41" s="126">
        <v>258300</v>
      </c>
      <c r="G41" s="127">
        <f t="shared" si="9"/>
        <v>258300</v>
      </c>
      <c r="H41" s="128">
        <v>12</v>
      </c>
      <c r="I41" s="129">
        <v>8</v>
      </c>
      <c r="J41" s="129">
        <f t="shared" si="18"/>
        <v>20664</v>
      </c>
      <c r="K41" s="126">
        <f t="shared" si="5"/>
        <v>278964</v>
      </c>
      <c r="L41" s="126">
        <f t="shared" si="19"/>
        <v>3120264</v>
      </c>
      <c r="M41" s="126">
        <v>12</v>
      </c>
      <c r="N41" s="129">
        <v>8</v>
      </c>
      <c r="O41" s="129">
        <f t="shared" si="10"/>
        <v>22317.119999999999</v>
      </c>
      <c r="P41" s="129">
        <f t="shared" si="11"/>
        <v>301281.12</v>
      </c>
      <c r="Q41" s="126">
        <f t="shared" si="20"/>
        <v>3369885.12</v>
      </c>
      <c r="R41" s="130">
        <f t="shared" si="21"/>
        <v>6748449.1200000001</v>
      </c>
    </row>
    <row r="42" spans="1:18" x14ac:dyDescent="0.3">
      <c r="A42" s="122"/>
      <c r="B42" s="485" t="s">
        <v>243</v>
      </c>
      <c r="C42" s="486"/>
      <c r="D42" s="486"/>
      <c r="E42" s="486"/>
      <c r="F42" s="486"/>
      <c r="G42" s="486"/>
      <c r="H42" s="486"/>
      <c r="I42" s="486"/>
      <c r="J42" s="486"/>
      <c r="K42" s="486"/>
      <c r="L42" s="486"/>
      <c r="M42" s="486"/>
      <c r="N42" s="486"/>
      <c r="O42" s="486"/>
      <c r="P42" s="486"/>
      <c r="Q42" s="486"/>
      <c r="R42" s="487"/>
    </row>
    <row r="43" spans="1:18" x14ac:dyDescent="0.3">
      <c r="A43" s="122">
        <v>24</v>
      </c>
      <c r="B43" s="136" t="s">
        <v>244</v>
      </c>
      <c r="C43" s="132">
        <v>1</v>
      </c>
      <c r="D43" s="132">
        <v>8</v>
      </c>
      <c r="E43" s="124">
        <v>1</v>
      </c>
      <c r="F43" s="126">
        <v>358750</v>
      </c>
      <c r="G43" s="127">
        <f t="shared" si="9"/>
        <v>358750</v>
      </c>
      <c r="H43" s="128">
        <v>12</v>
      </c>
      <c r="I43" s="129">
        <v>8</v>
      </c>
      <c r="J43" s="129">
        <f t="shared" ref="J43:J45" si="22">I43*F43/100</f>
        <v>28700</v>
      </c>
      <c r="K43" s="126">
        <f t="shared" si="5"/>
        <v>387450</v>
      </c>
      <c r="L43" s="126">
        <f t="shared" ref="L43:L54" si="23">(11*F43*C43)+(1*K43*C43)</f>
        <v>4333700</v>
      </c>
      <c r="M43" s="126">
        <v>12</v>
      </c>
      <c r="N43" s="129">
        <v>8</v>
      </c>
      <c r="O43" s="129">
        <f t="shared" si="10"/>
        <v>30996</v>
      </c>
      <c r="P43" s="129">
        <f t="shared" si="11"/>
        <v>418446</v>
      </c>
      <c r="Q43" s="126">
        <f>(11*K43*C43)+(1*P43*C43)</f>
        <v>4680396</v>
      </c>
      <c r="R43" s="130">
        <f>Q43+L43+G43</f>
        <v>9372846</v>
      </c>
    </row>
    <row r="44" spans="1:18" x14ac:dyDescent="0.3">
      <c r="A44" s="122">
        <v>35</v>
      </c>
      <c r="B44" s="136" t="s">
        <v>245</v>
      </c>
      <c r="C44" s="132">
        <v>2</v>
      </c>
      <c r="D44" s="132">
        <v>7</v>
      </c>
      <c r="E44" s="124">
        <v>1</v>
      </c>
      <c r="F44" s="126">
        <v>258300</v>
      </c>
      <c r="G44" s="127">
        <f t="shared" si="9"/>
        <v>516600</v>
      </c>
      <c r="H44" s="128">
        <v>12</v>
      </c>
      <c r="I44" s="129">
        <v>8</v>
      </c>
      <c r="J44" s="129">
        <f t="shared" si="22"/>
        <v>20664</v>
      </c>
      <c r="K44" s="126">
        <f t="shared" si="5"/>
        <v>278964</v>
      </c>
      <c r="L44" s="126">
        <f t="shared" si="23"/>
        <v>6240528</v>
      </c>
      <c r="M44" s="126">
        <v>12</v>
      </c>
      <c r="N44" s="129">
        <v>8</v>
      </c>
      <c r="O44" s="129">
        <f t="shared" si="10"/>
        <v>22317.119999999999</v>
      </c>
      <c r="P44" s="129">
        <f t="shared" si="11"/>
        <v>301281.12</v>
      </c>
      <c r="Q44" s="126">
        <f>(11*K44*C44)+(1*P44*C44)</f>
        <v>6739770.2400000002</v>
      </c>
      <c r="R44" s="130">
        <f>Q44+L44+G44</f>
        <v>13496898.24</v>
      </c>
    </row>
    <row r="45" spans="1:18" x14ac:dyDescent="0.3">
      <c r="A45" s="122">
        <v>36</v>
      </c>
      <c r="B45" s="136" t="s">
        <v>246</v>
      </c>
      <c r="C45" s="132">
        <v>2</v>
      </c>
      <c r="D45" s="132">
        <v>7</v>
      </c>
      <c r="E45" s="124">
        <v>1</v>
      </c>
      <c r="F45" s="126">
        <v>258300</v>
      </c>
      <c r="G45" s="127">
        <f t="shared" si="9"/>
        <v>516600</v>
      </c>
      <c r="H45" s="128">
        <v>12</v>
      </c>
      <c r="I45" s="129">
        <v>8</v>
      </c>
      <c r="J45" s="129">
        <f t="shared" si="22"/>
        <v>20664</v>
      </c>
      <c r="K45" s="126">
        <f t="shared" si="5"/>
        <v>278964</v>
      </c>
      <c r="L45" s="126">
        <f t="shared" si="23"/>
        <v>6240528</v>
      </c>
      <c r="M45" s="126">
        <v>12</v>
      </c>
      <c r="N45" s="129">
        <v>8</v>
      </c>
      <c r="O45" s="129">
        <f t="shared" si="10"/>
        <v>22317.119999999999</v>
      </c>
      <c r="P45" s="129">
        <f t="shared" si="11"/>
        <v>301281.12</v>
      </c>
      <c r="Q45" s="126">
        <f>(11*K45*C45)+(1*P45*C45)</f>
        <v>6739770.2400000002</v>
      </c>
      <c r="R45" s="130">
        <f>Q45+L45+G45</f>
        <v>13496898.24</v>
      </c>
    </row>
    <row r="46" spans="1:18" x14ac:dyDescent="0.3">
      <c r="A46" s="122"/>
      <c r="B46" s="485" t="s">
        <v>247</v>
      </c>
      <c r="C46" s="486"/>
      <c r="D46" s="486"/>
      <c r="E46" s="486"/>
      <c r="F46" s="486"/>
      <c r="G46" s="486"/>
      <c r="H46" s="486"/>
      <c r="I46" s="486"/>
      <c r="J46" s="486"/>
      <c r="K46" s="486"/>
      <c r="L46" s="486"/>
      <c r="M46" s="486"/>
      <c r="N46" s="486"/>
      <c r="O46" s="486"/>
      <c r="P46" s="486"/>
      <c r="Q46" s="486"/>
      <c r="R46" s="487"/>
    </row>
    <row r="47" spans="1:18" x14ac:dyDescent="0.3">
      <c r="A47" s="122">
        <v>37</v>
      </c>
      <c r="B47" s="136" t="s">
        <v>248</v>
      </c>
      <c r="C47" s="132">
        <v>1</v>
      </c>
      <c r="D47" s="132">
        <v>10</v>
      </c>
      <c r="E47" s="124">
        <v>1</v>
      </c>
      <c r="F47" s="126">
        <v>700000</v>
      </c>
      <c r="G47" s="127">
        <f t="shared" si="9"/>
        <v>700000</v>
      </c>
      <c r="H47" s="128">
        <v>12</v>
      </c>
      <c r="I47" s="126">
        <v>5</v>
      </c>
      <c r="J47" s="129">
        <f t="shared" ref="J47:J49" si="24">I47*F47/100</f>
        <v>35000</v>
      </c>
      <c r="K47" s="126">
        <f t="shared" si="5"/>
        <v>735000</v>
      </c>
      <c r="L47" s="126">
        <f t="shared" si="23"/>
        <v>8435000</v>
      </c>
      <c r="M47" s="126">
        <v>12</v>
      </c>
      <c r="N47" s="126">
        <v>5</v>
      </c>
      <c r="O47" s="129">
        <f t="shared" si="10"/>
        <v>36750</v>
      </c>
      <c r="P47" s="129">
        <f t="shared" si="11"/>
        <v>771750</v>
      </c>
      <c r="Q47" s="126">
        <f>(11*K47*C47)+(1*P47*C47)</f>
        <v>8856750</v>
      </c>
      <c r="R47" s="130">
        <f>Q47+L47+G47</f>
        <v>17991750</v>
      </c>
    </row>
    <row r="48" spans="1:18" x14ac:dyDescent="0.3">
      <c r="A48" s="122">
        <v>38</v>
      </c>
      <c r="B48" s="136" t="s">
        <v>249</v>
      </c>
      <c r="C48" s="132">
        <v>1</v>
      </c>
      <c r="D48" s="132">
        <v>8</v>
      </c>
      <c r="E48" s="124">
        <v>1</v>
      </c>
      <c r="F48" s="126">
        <v>358750</v>
      </c>
      <c r="G48" s="127">
        <f>F48*E48*C48</f>
        <v>358750</v>
      </c>
      <c r="H48" s="128">
        <v>12</v>
      </c>
      <c r="I48" s="126">
        <v>8</v>
      </c>
      <c r="J48" s="129">
        <f t="shared" si="24"/>
        <v>28700</v>
      </c>
      <c r="K48" s="126">
        <f t="shared" si="5"/>
        <v>387450</v>
      </c>
      <c r="L48" s="126">
        <f t="shared" si="23"/>
        <v>4333700</v>
      </c>
      <c r="M48" s="126">
        <v>12</v>
      </c>
      <c r="N48" s="126">
        <v>8</v>
      </c>
      <c r="O48" s="129">
        <f t="shared" si="10"/>
        <v>30996</v>
      </c>
      <c r="P48" s="129">
        <f t="shared" si="11"/>
        <v>418446</v>
      </c>
      <c r="Q48" s="126">
        <f>(11*K48*C48)+(1*P48*C48)</f>
        <v>4680396</v>
      </c>
      <c r="R48" s="130">
        <f>Q48+L48+G48</f>
        <v>9372846</v>
      </c>
    </row>
    <row r="49" spans="1:18" x14ac:dyDescent="0.3">
      <c r="A49" s="122">
        <v>39</v>
      </c>
      <c r="B49" s="136" t="s">
        <v>250</v>
      </c>
      <c r="C49" s="132">
        <v>1</v>
      </c>
      <c r="D49" s="132">
        <v>7</v>
      </c>
      <c r="E49" s="124">
        <v>1</v>
      </c>
      <c r="F49" s="126">
        <v>258300</v>
      </c>
      <c r="G49" s="127">
        <f t="shared" si="9"/>
        <v>258300</v>
      </c>
      <c r="H49" s="128">
        <v>12</v>
      </c>
      <c r="I49" s="126">
        <v>8</v>
      </c>
      <c r="J49" s="129">
        <f t="shared" si="24"/>
        <v>20664</v>
      </c>
      <c r="K49" s="126">
        <f t="shared" si="5"/>
        <v>278964</v>
      </c>
      <c r="L49" s="126">
        <f t="shared" si="23"/>
        <v>3120264</v>
      </c>
      <c r="M49" s="126">
        <v>12</v>
      </c>
      <c r="N49" s="126">
        <v>8</v>
      </c>
      <c r="O49" s="129">
        <f t="shared" si="10"/>
        <v>22317.119999999999</v>
      </c>
      <c r="P49" s="129">
        <f t="shared" si="11"/>
        <v>301281.12</v>
      </c>
      <c r="Q49" s="126">
        <f>(11*K49*C49)+(1*P49*C49)</f>
        <v>3369885.12</v>
      </c>
      <c r="R49" s="130">
        <f>Q49+L49+G49</f>
        <v>6748449.1200000001</v>
      </c>
    </row>
    <row r="50" spans="1:18" x14ac:dyDescent="0.3">
      <c r="A50" s="122"/>
      <c r="B50" s="485" t="s">
        <v>251</v>
      </c>
      <c r="C50" s="486"/>
      <c r="D50" s="486"/>
      <c r="E50" s="486"/>
      <c r="F50" s="486"/>
      <c r="G50" s="486"/>
      <c r="H50" s="486"/>
      <c r="I50" s="486"/>
      <c r="J50" s="486"/>
      <c r="K50" s="486"/>
      <c r="L50" s="486"/>
      <c r="M50" s="486"/>
      <c r="N50" s="486"/>
      <c r="O50" s="486"/>
      <c r="P50" s="486"/>
      <c r="Q50" s="486"/>
      <c r="R50" s="487"/>
    </row>
    <row r="51" spans="1:18" x14ac:dyDescent="0.3">
      <c r="A51" s="122">
        <v>41</v>
      </c>
      <c r="B51" s="91" t="s">
        <v>252</v>
      </c>
      <c r="C51" s="148">
        <v>5</v>
      </c>
      <c r="D51" s="148">
        <v>4</v>
      </c>
      <c r="E51" s="124">
        <v>1</v>
      </c>
      <c r="F51" s="126">
        <v>68250</v>
      </c>
      <c r="G51" s="127">
        <f t="shared" si="9"/>
        <v>341250</v>
      </c>
      <c r="H51" s="128">
        <v>12</v>
      </c>
      <c r="I51" s="129">
        <v>10</v>
      </c>
      <c r="J51" s="129">
        <f t="shared" ref="J51:J54" si="25">I51*F51/100</f>
        <v>6825</v>
      </c>
      <c r="K51" s="126">
        <f t="shared" si="5"/>
        <v>75075</v>
      </c>
      <c r="L51" s="126">
        <f t="shared" si="23"/>
        <v>4129125</v>
      </c>
      <c r="M51" s="126">
        <v>12</v>
      </c>
      <c r="N51" s="129">
        <v>10</v>
      </c>
      <c r="O51" s="129">
        <f t="shared" si="10"/>
        <v>7507.5</v>
      </c>
      <c r="P51" s="129">
        <f t="shared" si="11"/>
        <v>82582.5</v>
      </c>
      <c r="Q51" s="126">
        <f>(11*K51*C51)+(1*P51*C51)</f>
        <v>4542037.5</v>
      </c>
      <c r="R51" s="130">
        <f>Q51+L51+G51</f>
        <v>9012412.5</v>
      </c>
    </row>
    <row r="52" spans="1:18" x14ac:dyDescent="0.3">
      <c r="A52" s="122">
        <v>42</v>
      </c>
      <c r="B52" s="91" t="s">
        <v>253</v>
      </c>
      <c r="C52" s="148">
        <v>2</v>
      </c>
      <c r="D52" s="148">
        <v>3</v>
      </c>
      <c r="E52" s="124">
        <v>1</v>
      </c>
      <c r="F52" s="126">
        <v>56875</v>
      </c>
      <c r="G52" s="127">
        <f t="shared" si="9"/>
        <v>113750</v>
      </c>
      <c r="H52" s="128">
        <v>12</v>
      </c>
      <c r="I52" s="129">
        <v>10</v>
      </c>
      <c r="J52" s="129">
        <f t="shared" si="25"/>
        <v>5687.5</v>
      </c>
      <c r="K52" s="126">
        <f t="shared" si="5"/>
        <v>62562.5</v>
      </c>
      <c r="L52" s="126">
        <f t="shared" si="23"/>
        <v>1376375</v>
      </c>
      <c r="M52" s="126">
        <v>12</v>
      </c>
      <c r="N52" s="129">
        <v>10</v>
      </c>
      <c r="O52" s="129">
        <f t="shared" si="10"/>
        <v>6256.25</v>
      </c>
      <c r="P52" s="129">
        <f t="shared" si="11"/>
        <v>68818.75</v>
      </c>
      <c r="Q52" s="126">
        <f>(11*K52*C52)+(1*P52*C52)</f>
        <v>1514012.5</v>
      </c>
      <c r="R52" s="130">
        <f>Q52+L52+G52</f>
        <v>3004137.5</v>
      </c>
    </row>
    <row r="53" spans="1:18" x14ac:dyDescent="0.3">
      <c r="A53" s="122">
        <v>43</v>
      </c>
      <c r="B53" s="91" t="s">
        <v>254</v>
      </c>
      <c r="C53" s="149">
        <v>5</v>
      </c>
      <c r="D53" s="149">
        <v>2</v>
      </c>
      <c r="E53" s="124">
        <v>1</v>
      </c>
      <c r="F53" s="126">
        <v>45500</v>
      </c>
      <c r="G53" s="127">
        <f t="shared" si="9"/>
        <v>227500</v>
      </c>
      <c r="H53" s="150">
        <v>12</v>
      </c>
      <c r="I53" s="129">
        <v>10</v>
      </c>
      <c r="J53" s="129">
        <f t="shared" si="25"/>
        <v>4550</v>
      </c>
      <c r="K53" s="126">
        <f t="shared" si="5"/>
        <v>50050</v>
      </c>
      <c r="L53" s="126">
        <f t="shared" si="23"/>
        <v>2752750</v>
      </c>
      <c r="M53" s="126">
        <v>12</v>
      </c>
      <c r="N53" s="129">
        <v>10</v>
      </c>
      <c r="O53" s="129">
        <f t="shared" si="10"/>
        <v>5005</v>
      </c>
      <c r="P53" s="129">
        <f t="shared" si="11"/>
        <v>55055</v>
      </c>
      <c r="Q53" s="126">
        <f>(11*K53*C53)+(1*P53*C53)</f>
        <v>3028025</v>
      </c>
      <c r="R53" s="130">
        <f>Q53+L53+G53</f>
        <v>6008275</v>
      </c>
    </row>
    <row r="54" spans="1:18" x14ac:dyDescent="0.3">
      <c r="A54" s="122">
        <v>44</v>
      </c>
      <c r="B54" s="91" t="s">
        <v>255</v>
      </c>
      <c r="C54" s="149">
        <v>8</v>
      </c>
      <c r="D54" s="149">
        <v>2</v>
      </c>
      <c r="E54" s="124">
        <v>1</v>
      </c>
      <c r="F54" s="126">
        <v>45500</v>
      </c>
      <c r="G54" s="127">
        <f t="shared" si="9"/>
        <v>364000</v>
      </c>
      <c r="H54" s="150">
        <v>12</v>
      </c>
      <c r="I54" s="129">
        <v>10</v>
      </c>
      <c r="J54" s="129">
        <f t="shared" si="25"/>
        <v>4550</v>
      </c>
      <c r="K54" s="126">
        <f t="shared" si="5"/>
        <v>50050</v>
      </c>
      <c r="L54" s="126">
        <f t="shared" si="23"/>
        <v>4404400</v>
      </c>
      <c r="M54" s="126">
        <v>12</v>
      </c>
      <c r="N54" s="129">
        <v>10</v>
      </c>
      <c r="O54" s="129">
        <f t="shared" si="10"/>
        <v>5005</v>
      </c>
      <c r="P54" s="129">
        <f t="shared" si="11"/>
        <v>55055</v>
      </c>
      <c r="Q54" s="126">
        <f>(11*K54*C54)+(1*P54*C54)</f>
        <v>4844840</v>
      </c>
      <c r="R54" s="130">
        <f>Q54+L54+G54</f>
        <v>9613240</v>
      </c>
    </row>
    <row r="55" spans="1:18" x14ac:dyDescent="0.3">
      <c r="A55" s="151"/>
      <c r="B55" s="152" t="s">
        <v>7</v>
      </c>
      <c r="C55" s="133">
        <f>SUM(C4:C54)</f>
        <v>116</v>
      </c>
      <c r="D55" s="132"/>
      <c r="E55" s="153"/>
      <c r="F55" s="153"/>
      <c r="G55" s="154">
        <f>SUM(G4:G54)</f>
        <v>36999050</v>
      </c>
      <c r="H55" s="130"/>
      <c r="I55" s="130"/>
      <c r="J55" s="130"/>
      <c r="K55" s="155"/>
      <c r="L55" s="155">
        <f>SUM(L4:L54)</f>
        <v>412995654</v>
      </c>
      <c r="M55" s="130"/>
      <c r="N55" s="130"/>
      <c r="O55" s="130"/>
      <c r="P55" s="130"/>
      <c r="Q55" s="130">
        <f>SUM(Q4:Q54)</f>
        <v>442792269.31999999</v>
      </c>
      <c r="R55" s="156">
        <f>SUM(R4:R54)</f>
        <v>892786973.31999993</v>
      </c>
    </row>
    <row r="56" spans="1:18" x14ac:dyDescent="0.3">
      <c r="B56" s="488" t="s">
        <v>256</v>
      </c>
      <c r="C56" s="488"/>
      <c r="D56" s="488"/>
      <c r="E56" s="488"/>
      <c r="F56" s="488"/>
    </row>
    <row r="57" spans="1:18" x14ac:dyDescent="0.3">
      <c r="B57" s="489" t="s">
        <v>257</v>
      </c>
      <c r="C57" s="489"/>
      <c r="D57" s="489"/>
      <c r="E57" s="489"/>
      <c r="F57" s="489"/>
      <c r="G57" s="489"/>
      <c r="H57" s="489"/>
      <c r="I57" s="489"/>
      <c r="J57" s="489"/>
      <c r="K57" s="489"/>
      <c r="L57" s="159"/>
      <c r="M57" s="160"/>
      <c r="P57" s="160"/>
      <c r="Q57" s="161"/>
      <c r="R57" s="162">
        <f>R55-T26</f>
        <v>579270173.31999993</v>
      </c>
    </row>
    <row r="58" spans="1:18" x14ac:dyDescent="0.3">
      <c r="B58" s="489"/>
      <c r="C58" s="489"/>
      <c r="D58" s="489"/>
      <c r="E58" s="489"/>
      <c r="F58" s="489"/>
      <c r="G58" s="489"/>
      <c r="H58" s="489"/>
      <c r="I58" s="489"/>
      <c r="J58" s="489"/>
      <c r="K58" s="489"/>
      <c r="L58" s="163"/>
      <c r="M58" s="160"/>
    </row>
    <row r="59" spans="1:18" x14ac:dyDescent="0.3">
      <c r="G59" s="166"/>
      <c r="L59" s="163"/>
    </row>
    <row r="61" spans="1:18" x14ac:dyDescent="0.3">
      <c r="L61" s="167"/>
    </row>
    <row r="64" spans="1:18" x14ac:dyDescent="0.3">
      <c r="B64" s="168"/>
    </row>
    <row r="65" spans="2:2" x14ac:dyDescent="0.3">
      <c r="B65" s="169"/>
    </row>
  </sheetData>
  <mergeCells count="19">
    <mergeCell ref="B46:R46"/>
    <mergeCell ref="B50:R50"/>
    <mergeCell ref="B56:F56"/>
    <mergeCell ref="B57:K58"/>
    <mergeCell ref="B7:R7"/>
    <mergeCell ref="B15:R15"/>
    <mergeCell ref="B19:R19"/>
    <mergeCell ref="B24:R24"/>
    <mergeCell ref="B27:R27"/>
    <mergeCell ref="B42:R42"/>
    <mergeCell ref="A1:R1"/>
    <mergeCell ref="A2:A3"/>
    <mergeCell ref="B2:B3"/>
    <mergeCell ref="C2:C3"/>
    <mergeCell ref="D2:D3"/>
    <mergeCell ref="E2:G2"/>
    <mergeCell ref="H2:L2"/>
    <mergeCell ref="M2:Q2"/>
    <mergeCell ref="R2:R3"/>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E05D96-31D8-420E-9277-1CCAC778FF20}">
  <dimension ref="B4:O29"/>
  <sheetViews>
    <sheetView topLeftCell="A3" zoomScaleNormal="100" workbookViewId="0">
      <selection activeCell="V13" sqref="V13"/>
    </sheetView>
  </sheetViews>
  <sheetFormatPr defaultColWidth="9.109375" defaultRowHeight="14.4" x14ac:dyDescent="0.3"/>
  <cols>
    <col min="1" max="1" width="9.109375" style="12"/>
    <col min="2" max="2" width="7.109375" style="12" bestFit="1" customWidth="1"/>
    <col min="3" max="3" width="16.21875" style="12" customWidth="1"/>
    <col min="4" max="4" width="30.77734375" style="12" bestFit="1" customWidth="1"/>
    <col min="5" max="5" width="23" style="12" bestFit="1" customWidth="1"/>
    <col min="6" max="6" width="19.88671875" style="12" customWidth="1"/>
    <col min="7" max="7" width="20.6640625" style="12" bestFit="1" customWidth="1"/>
    <col min="8" max="8" width="15.44140625" style="12" bestFit="1" customWidth="1"/>
    <col min="9" max="9" width="7.109375" style="12" bestFit="1" customWidth="1"/>
    <col min="10" max="10" width="14.6640625" style="12" hidden="1" customWidth="1"/>
    <col min="11" max="11" width="11" style="12" hidden="1" customWidth="1"/>
    <col min="12" max="12" width="53.77734375" style="12" hidden="1" customWidth="1"/>
    <col min="13" max="13" width="15.44140625" style="12" hidden="1" customWidth="1"/>
    <col min="14" max="14" width="34.33203125" style="12" hidden="1" customWidth="1"/>
    <col min="15" max="15" width="13.77734375" style="12" hidden="1" customWidth="1"/>
    <col min="16" max="16384" width="9.109375" style="12"/>
  </cols>
  <sheetData>
    <row r="4" spans="2:15" ht="31.8" customHeight="1" x14ac:dyDescent="0.3">
      <c r="B4" s="490" t="s">
        <v>0</v>
      </c>
      <c r="C4" s="490"/>
      <c r="D4" s="490"/>
      <c r="E4" s="490"/>
      <c r="F4" s="490"/>
      <c r="G4" s="490"/>
      <c r="H4" s="490"/>
      <c r="I4" s="490"/>
    </row>
    <row r="5" spans="2:15" ht="35.4" customHeight="1" x14ac:dyDescent="0.3">
      <c r="B5" s="1" t="s">
        <v>1</v>
      </c>
      <c r="C5" s="1" t="s">
        <v>2</v>
      </c>
      <c r="D5" s="1" t="s">
        <v>3</v>
      </c>
      <c r="E5" s="13" t="s">
        <v>4</v>
      </c>
      <c r="F5" s="13" t="s">
        <v>5</v>
      </c>
      <c r="G5" s="13" t="s">
        <v>6</v>
      </c>
      <c r="H5" s="13" t="s">
        <v>7</v>
      </c>
      <c r="I5" s="13" t="s">
        <v>8</v>
      </c>
    </row>
    <row r="6" spans="2:15" ht="19.95" customHeight="1" x14ac:dyDescent="0.3">
      <c r="B6" s="2">
        <v>1</v>
      </c>
      <c r="C6" s="2" t="s">
        <v>9</v>
      </c>
      <c r="D6" s="3" t="s">
        <v>443</v>
      </c>
      <c r="E6" s="14">
        <v>19110000</v>
      </c>
      <c r="F6" s="15">
        <v>122509800</v>
      </c>
      <c r="G6" s="15">
        <v>130921434</v>
      </c>
      <c r="H6" s="15">
        <f t="shared" ref="H6:H23" si="0">SUM(E6:G6)</f>
        <v>272541234</v>
      </c>
      <c r="I6" s="4">
        <f>H6/H28*100</f>
        <v>42.875637518938447</v>
      </c>
      <c r="J6" s="16"/>
      <c r="K6" s="17"/>
    </row>
    <row r="7" spans="2:15" ht="19.95" customHeight="1" thickBot="1" x14ac:dyDescent="0.35">
      <c r="B7" s="2">
        <v>2</v>
      </c>
      <c r="C7" s="2" t="s">
        <v>11</v>
      </c>
      <c r="D7" s="3" t="s">
        <v>12</v>
      </c>
      <c r="E7" s="14">
        <v>14472000</v>
      </c>
      <c r="F7" s="15">
        <v>29232000</v>
      </c>
      <c r="G7" s="15">
        <v>36432000</v>
      </c>
      <c r="H7" s="15">
        <f>SUM(E7:G7)</f>
        <v>80136000</v>
      </c>
      <c r="I7" s="4">
        <f>H7/H28*100</f>
        <v>12.606833974405692</v>
      </c>
      <c r="J7" s="16">
        <v>80136000</v>
      </c>
      <c r="K7" s="17"/>
    </row>
    <row r="8" spans="2:15" ht="19.95" customHeight="1" thickBot="1" x14ac:dyDescent="0.35">
      <c r="B8" s="2">
        <v>3</v>
      </c>
      <c r="C8" s="2" t="s">
        <v>13</v>
      </c>
      <c r="D8" s="3" t="s">
        <v>14</v>
      </c>
      <c r="E8" s="14">
        <v>15040000</v>
      </c>
      <c r="F8" s="15">
        <v>0</v>
      </c>
      <c r="G8" s="18" t="s">
        <v>15</v>
      </c>
      <c r="H8" s="15">
        <f>SUM(E8:G8)</f>
        <v>15040000</v>
      </c>
      <c r="I8" s="4">
        <f>H8/H28*100</f>
        <v>2.3660624809706201</v>
      </c>
      <c r="J8" s="16">
        <v>15040000</v>
      </c>
      <c r="K8" s="17"/>
      <c r="L8" s="382" t="s">
        <v>409</v>
      </c>
      <c r="M8" s="382" t="s">
        <v>435</v>
      </c>
      <c r="N8" s="382" t="s">
        <v>436</v>
      </c>
      <c r="O8" s="382" t="s">
        <v>434</v>
      </c>
    </row>
    <row r="9" spans="2:15" ht="19.95" customHeight="1" thickBot="1" x14ac:dyDescent="0.35">
      <c r="B9" s="2">
        <v>4</v>
      </c>
      <c r="C9" s="2" t="s">
        <v>16</v>
      </c>
      <c r="D9" s="3" t="s">
        <v>17</v>
      </c>
      <c r="E9" s="14">
        <v>33624000</v>
      </c>
      <c r="F9" s="15">
        <v>130168000</v>
      </c>
      <c r="G9" s="15">
        <v>50176000</v>
      </c>
      <c r="H9" s="15">
        <f>SUM(E9:G9)</f>
        <v>213968000</v>
      </c>
      <c r="I9" s="4">
        <f>H9/H28*100</f>
        <v>33.661014423425641</v>
      </c>
      <c r="J9" s="16">
        <v>213968000</v>
      </c>
      <c r="K9" s="17"/>
      <c r="L9" s="383" t="s">
        <v>411</v>
      </c>
      <c r="M9" s="388">
        <v>0</v>
      </c>
      <c r="N9" s="523">
        <f>H6</f>
        <v>272541234</v>
      </c>
      <c r="O9" s="388">
        <f>N9-M9</f>
        <v>272541234</v>
      </c>
    </row>
    <row r="10" spans="2:15" ht="19.95" customHeight="1" thickBot="1" x14ac:dyDescent="0.35">
      <c r="B10" s="2">
        <v>5</v>
      </c>
      <c r="C10" s="2" t="s">
        <v>18</v>
      </c>
      <c r="D10" s="3" t="s">
        <v>19</v>
      </c>
      <c r="E10" s="14">
        <v>1600000</v>
      </c>
      <c r="F10" s="15">
        <v>9600000</v>
      </c>
      <c r="G10" s="15">
        <v>9600000</v>
      </c>
      <c r="H10" s="15">
        <f>SUM(E10:G10)</f>
        <v>20800000</v>
      </c>
      <c r="I10" s="4">
        <f>H10/H28*100</f>
        <v>3.2722140694274531</v>
      </c>
      <c r="J10" s="16">
        <v>20800000</v>
      </c>
      <c r="K10" s="17"/>
      <c r="L10" s="384" t="s">
        <v>12</v>
      </c>
      <c r="M10" s="536">
        <v>14400000</v>
      </c>
      <c r="N10" s="523">
        <f>H7</f>
        <v>80136000</v>
      </c>
      <c r="O10" s="388">
        <f t="shared" ref="O10:O14" si="1">N10-M10</f>
        <v>65736000</v>
      </c>
    </row>
    <row r="11" spans="2:15" ht="19.95" customHeight="1" thickBot="1" x14ac:dyDescent="0.35">
      <c r="B11" s="2">
        <v>6</v>
      </c>
      <c r="C11" s="2" t="s">
        <v>20</v>
      </c>
      <c r="D11" s="3" t="s">
        <v>21</v>
      </c>
      <c r="E11" s="14">
        <v>2260000</v>
      </c>
      <c r="F11" s="15">
        <v>0</v>
      </c>
      <c r="G11" s="14">
        <v>0</v>
      </c>
      <c r="H11" s="15">
        <f t="shared" si="0"/>
        <v>2260000</v>
      </c>
      <c r="I11" s="4">
        <f>H11/H28*100</f>
        <v>0.35553864408202135</v>
      </c>
      <c r="J11" s="16">
        <v>2260000</v>
      </c>
      <c r="K11" s="17"/>
      <c r="L11" s="384" t="s">
        <v>14</v>
      </c>
      <c r="M11" s="388">
        <v>0</v>
      </c>
      <c r="N11" s="523">
        <f>H8</f>
        <v>15040000</v>
      </c>
      <c r="O11" s="388">
        <f t="shared" si="1"/>
        <v>15040000</v>
      </c>
    </row>
    <row r="12" spans="2:15" ht="19.95" customHeight="1" thickBot="1" x14ac:dyDescent="0.35">
      <c r="B12" s="2">
        <v>7</v>
      </c>
      <c r="C12" s="2" t="s">
        <v>22</v>
      </c>
      <c r="D12" s="3" t="s">
        <v>23</v>
      </c>
      <c r="E12" s="14">
        <v>460000</v>
      </c>
      <c r="F12" s="15">
        <v>3000000</v>
      </c>
      <c r="G12" s="15">
        <v>3000000</v>
      </c>
      <c r="H12" s="15">
        <f t="shared" si="0"/>
        <v>6460000</v>
      </c>
      <c r="I12" s="4">
        <f>H12/H28*100</f>
        <v>1.0162741773317956</v>
      </c>
      <c r="J12" s="16">
        <v>6460000</v>
      </c>
      <c r="K12" s="17"/>
      <c r="L12" s="384" t="s">
        <v>444</v>
      </c>
      <c r="M12" s="537">
        <v>11424000</v>
      </c>
      <c r="N12" s="523">
        <f>H9</f>
        <v>213968000</v>
      </c>
      <c r="O12" s="388">
        <f t="shared" si="1"/>
        <v>202544000</v>
      </c>
    </row>
    <row r="13" spans="2:15" ht="19.95" customHeight="1" thickBot="1" x14ac:dyDescent="0.35">
      <c r="B13" s="2">
        <v>8</v>
      </c>
      <c r="C13" s="2" t="s">
        <v>24</v>
      </c>
      <c r="D13" s="3" t="s">
        <v>25</v>
      </c>
      <c r="E13" s="14">
        <v>600000</v>
      </c>
      <c r="F13" s="15">
        <v>3600000</v>
      </c>
      <c r="G13" s="15">
        <v>3600000</v>
      </c>
      <c r="H13" s="15">
        <f t="shared" si="0"/>
        <v>7800000</v>
      </c>
      <c r="I13" s="4">
        <f>H13/H28*100</f>
        <v>1.227080276035295</v>
      </c>
      <c r="J13" s="16">
        <v>7800000</v>
      </c>
      <c r="K13" s="17"/>
      <c r="L13" s="384" t="s">
        <v>445</v>
      </c>
      <c r="M13" s="388">
        <v>0</v>
      </c>
      <c r="N13" s="388">
        <f>H28-N9-N10-N11-N12</f>
        <v>53970000</v>
      </c>
      <c r="O13" s="388">
        <f t="shared" si="1"/>
        <v>53970000</v>
      </c>
    </row>
    <row r="14" spans="2:15" ht="19.95" customHeight="1" thickBot="1" x14ac:dyDescent="0.35">
      <c r="B14" s="2">
        <v>9</v>
      </c>
      <c r="C14" s="2" t="s">
        <v>26</v>
      </c>
      <c r="D14" s="3" t="s">
        <v>27</v>
      </c>
      <c r="E14" s="14">
        <v>50000</v>
      </c>
      <c r="F14" s="15">
        <v>200000</v>
      </c>
      <c r="G14" s="15">
        <v>200000</v>
      </c>
      <c r="H14" s="15">
        <f t="shared" si="0"/>
        <v>450000</v>
      </c>
      <c r="I14" s="4">
        <f>H14/H28*100</f>
        <v>7.079309284819009E-2</v>
      </c>
      <c r="J14" s="16">
        <v>450000</v>
      </c>
      <c r="K14" s="17"/>
      <c r="L14" s="386" t="s">
        <v>7</v>
      </c>
      <c r="M14" s="538">
        <v>25824000</v>
      </c>
      <c r="N14" s="388">
        <f>H28</f>
        <v>635655234</v>
      </c>
      <c r="O14" s="388">
        <f t="shared" si="1"/>
        <v>609831234</v>
      </c>
    </row>
    <row r="15" spans="2:15" ht="19.95" customHeight="1" x14ac:dyDescent="0.3">
      <c r="B15" s="2">
        <v>10</v>
      </c>
      <c r="C15" s="2" t="s">
        <v>28</v>
      </c>
      <c r="D15" s="3" t="s">
        <v>29</v>
      </c>
      <c r="E15" s="14">
        <v>400000</v>
      </c>
      <c r="F15" s="15">
        <v>1000000</v>
      </c>
      <c r="G15" s="15">
        <v>800000</v>
      </c>
      <c r="H15" s="15">
        <f t="shared" si="0"/>
        <v>2200000</v>
      </c>
      <c r="I15" s="4">
        <f>H15/H28*100</f>
        <v>0.34609956503559602</v>
      </c>
      <c r="J15" s="16">
        <v>2200000</v>
      </c>
      <c r="K15" s="17"/>
    </row>
    <row r="16" spans="2:15" ht="19.95" customHeight="1" x14ac:dyDescent="0.3">
      <c r="B16" s="2">
        <v>11</v>
      </c>
      <c r="C16" s="2" t="s">
        <v>30</v>
      </c>
      <c r="D16" s="3" t="s">
        <v>31</v>
      </c>
      <c r="E16" s="14">
        <v>1000000</v>
      </c>
      <c r="F16" s="15">
        <v>1000000</v>
      </c>
      <c r="G16" s="15">
        <v>500000</v>
      </c>
      <c r="H16" s="15">
        <f t="shared" si="0"/>
        <v>2500000</v>
      </c>
      <c r="I16" s="4">
        <f>H16/H28*100</f>
        <v>0.39329496026772276</v>
      </c>
      <c r="J16" s="16">
        <v>2500000</v>
      </c>
      <c r="K16" s="17"/>
    </row>
    <row r="17" spans="2:11" ht="19.95" customHeight="1" x14ac:dyDescent="0.3">
      <c r="B17" s="2">
        <v>12</v>
      </c>
      <c r="C17" s="2" t="s">
        <v>32</v>
      </c>
      <c r="D17" s="3" t="s">
        <v>33</v>
      </c>
      <c r="E17" s="14">
        <v>500000</v>
      </c>
      <c r="F17" s="15">
        <v>1000000</v>
      </c>
      <c r="G17" s="15">
        <v>1000000</v>
      </c>
      <c r="H17" s="15">
        <f t="shared" si="0"/>
        <v>2500000</v>
      </c>
      <c r="I17" s="4">
        <f>H17/H28*100</f>
        <v>0.39329496026772276</v>
      </c>
      <c r="J17" s="16">
        <v>3300000</v>
      </c>
      <c r="K17" s="17"/>
    </row>
    <row r="18" spans="2:11" ht="19.95" customHeight="1" x14ac:dyDescent="0.3">
      <c r="B18" s="2">
        <v>13</v>
      </c>
      <c r="C18" s="2" t="s">
        <v>34</v>
      </c>
      <c r="D18" s="3" t="s">
        <v>35</v>
      </c>
      <c r="E18" s="14">
        <v>300000</v>
      </c>
      <c r="F18" s="15">
        <v>2000000</v>
      </c>
      <c r="G18" s="15">
        <v>1000000</v>
      </c>
      <c r="H18" s="15">
        <f t="shared" si="0"/>
        <v>3300000</v>
      </c>
      <c r="I18" s="4">
        <f>H18/H28*100</f>
        <v>0.51914934755339404</v>
      </c>
      <c r="J18" s="16">
        <v>1050000</v>
      </c>
      <c r="K18" s="17"/>
    </row>
    <row r="19" spans="2:11" ht="19.95" customHeight="1" x14ac:dyDescent="0.3">
      <c r="B19" s="2">
        <v>14</v>
      </c>
      <c r="C19" s="2" t="s">
        <v>36</v>
      </c>
      <c r="D19" s="3" t="s">
        <v>37</v>
      </c>
      <c r="E19" s="14">
        <v>50000</v>
      </c>
      <c r="F19" s="15">
        <v>500000</v>
      </c>
      <c r="G19" s="15">
        <v>500000</v>
      </c>
      <c r="H19" s="15">
        <f t="shared" si="0"/>
        <v>1050000</v>
      </c>
      <c r="I19" s="4">
        <f>H19/H28*100</f>
        <v>0.16518388331244355</v>
      </c>
      <c r="J19" s="16">
        <v>500000</v>
      </c>
      <c r="K19" s="17"/>
    </row>
    <row r="20" spans="2:11" ht="19.95" customHeight="1" x14ac:dyDescent="0.3">
      <c r="B20" s="2">
        <v>15</v>
      </c>
      <c r="C20" s="2" t="s">
        <v>38</v>
      </c>
      <c r="D20" s="3" t="s">
        <v>39</v>
      </c>
      <c r="E20" s="14">
        <v>0</v>
      </c>
      <c r="F20" s="15">
        <v>300000</v>
      </c>
      <c r="G20" s="15">
        <v>200000</v>
      </c>
      <c r="H20" s="15">
        <f t="shared" si="0"/>
        <v>500000</v>
      </c>
      <c r="I20" s="4">
        <f>H20/H28*100</f>
        <v>7.8658992053544541E-2</v>
      </c>
      <c r="J20" s="16">
        <v>225000</v>
      </c>
      <c r="K20" s="17"/>
    </row>
    <row r="21" spans="2:11" ht="19.95" customHeight="1" x14ac:dyDescent="0.3">
      <c r="B21" s="2">
        <v>16</v>
      </c>
      <c r="C21" s="2" t="s">
        <v>40</v>
      </c>
      <c r="D21" s="3" t="s">
        <v>41</v>
      </c>
      <c r="E21" s="14">
        <v>25000</v>
      </c>
      <c r="F21" s="15">
        <v>100000</v>
      </c>
      <c r="G21" s="15">
        <v>100000</v>
      </c>
      <c r="H21" s="15">
        <f t="shared" si="0"/>
        <v>225000</v>
      </c>
      <c r="I21" s="4">
        <f>H21/H28*100</f>
        <v>3.5396546424095045E-2</v>
      </c>
      <c r="J21" s="16">
        <v>225000</v>
      </c>
      <c r="K21" s="17"/>
    </row>
    <row r="22" spans="2:11" ht="19.95" customHeight="1" x14ac:dyDescent="0.3">
      <c r="B22" s="2">
        <v>17</v>
      </c>
      <c r="C22" s="2" t="s">
        <v>42</v>
      </c>
      <c r="D22" s="3" t="s">
        <v>43</v>
      </c>
      <c r="E22" s="14">
        <v>25000</v>
      </c>
      <c r="F22" s="15">
        <v>100000</v>
      </c>
      <c r="G22" s="15">
        <v>100000</v>
      </c>
      <c r="H22" s="15">
        <f t="shared" si="0"/>
        <v>225000</v>
      </c>
      <c r="I22" s="4">
        <f>H22/H28*100</f>
        <v>3.5396546424095045E-2</v>
      </c>
      <c r="J22" s="16">
        <v>650000</v>
      </c>
      <c r="K22" s="17"/>
    </row>
    <row r="23" spans="2:11" ht="19.95" customHeight="1" x14ac:dyDescent="0.3">
      <c r="B23" s="2">
        <v>18</v>
      </c>
      <c r="C23" s="2" t="s">
        <v>44</v>
      </c>
      <c r="D23" s="3" t="s">
        <v>45</v>
      </c>
      <c r="E23" s="14">
        <v>50000</v>
      </c>
      <c r="F23" s="15">
        <v>300000</v>
      </c>
      <c r="G23" s="15">
        <v>300000</v>
      </c>
      <c r="H23" s="15">
        <f t="shared" si="0"/>
        <v>650000</v>
      </c>
      <c r="I23" s="4">
        <f>H23/H28*100</f>
        <v>0.10225668966960791</v>
      </c>
      <c r="J23" s="16">
        <v>50000</v>
      </c>
      <c r="K23" s="17"/>
    </row>
    <row r="24" spans="2:11" ht="19.95" customHeight="1" x14ac:dyDescent="0.3">
      <c r="B24" s="2">
        <v>19</v>
      </c>
      <c r="C24" s="2" t="s">
        <v>46</v>
      </c>
      <c r="D24" s="3" t="s">
        <v>47</v>
      </c>
      <c r="E24" s="14">
        <v>5000</v>
      </c>
      <c r="F24" s="15">
        <v>25000</v>
      </c>
      <c r="G24" s="15">
        <v>20000</v>
      </c>
      <c r="H24" s="15">
        <f>SUM(E24:G24)</f>
        <v>50000</v>
      </c>
      <c r="I24" s="4">
        <f>H24/H28 * 100</f>
        <v>7.8658992053544548E-3</v>
      </c>
      <c r="J24" s="16">
        <v>520000</v>
      </c>
      <c r="K24" s="17"/>
    </row>
    <row r="25" spans="2:11" ht="19.95" customHeight="1" x14ac:dyDescent="0.3">
      <c r="B25" s="2">
        <v>20</v>
      </c>
      <c r="C25" s="2" t="s">
        <v>44</v>
      </c>
      <c r="D25" s="3" t="s">
        <v>48</v>
      </c>
      <c r="E25" s="14">
        <v>40000</v>
      </c>
      <c r="F25" s="15">
        <v>240000</v>
      </c>
      <c r="G25" s="15">
        <v>240000</v>
      </c>
      <c r="H25" s="15">
        <f>SUM(E25,F25,G25)</f>
        <v>520000</v>
      </c>
      <c r="I25" s="4">
        <f>H25/H28*100</f>
        <v>8.180535173568633E-2</v>
      </c>
      <c r="J25" s="16">
        <v>780000</v>
      </c>
      <c r="K25" s="17"/>
    </row>
    <row r="26" spans="2:11" ht="19.95" customHeight="1" x14ac:dyDescent="0.3">
      <c r="B26" s="2">
        <v>21</v>
      </c>
      <c r="C26" s="2" t="s">
        <v>49</v>
      </c>
      <c r="D26" s="3" t="s">
        <v>50</v>
      </c>
      <c r="E26" s="14">
        <v>60000</v>
      </c>
      <c r="F26" s="15">
        <v>360000</v>
      </c>
      <c r="G26" s="15">
        <v>360000</v>
      </c>
      <c r="H26" s="15">
        <f>SUM(E26,F26,G26)</f>
        <v>780000</v>
      </c>
      <c r="I26" s="4">
        <f>H26/H28*100</f>
        <v>0.12270802760352949</v>
      </c>
      <c r="J26" s="16">
        <v>1700000</v>
      </c>
      <c r="K26" s="17"/>
    </row>
    <row r="27" spans="2:11" ht="19.95" customHeight="1" x14ac:dyDescent="0.3">
      <c r="B27" s="2">
        <v>22</v>
      </c>
      <c r="C27" s="2" t="s">
        <v>51</v>
      </c>
      <c r="D27" s="3" t="s">
        <v>52</v>
      </c>
      <c r="E27" s="14">
        <v>200000</v>
      </c>
      <c r="F27" s="15">
        <v>1000000</v>
      </c>
      <c r="G27" s="15">
        <v>500000</v>
      </c>
      <c r="H27" s="15">
        <f>SUM(E27:G27)</f>
        <v>1700000</v>
      </c>
      <c r="I27" s="4">
        <f>H27/H28*100</f>
        <v>0.26744057298205148</v>
      </c>
      <c r="J27" s="16">
        <f>SUM(J7:J26)</f>
        <v>360614000</v>
      </c>
      <c r="K27" s="17"/>
    </row>
    <row r="28" spans="2:11" ht="19.95" customHeight="1" x14ac:dyDescent="0.3">
      <c r="B28" s="5"/>
      <c r="C28" s="5"/>
      <c r="D28" s="6" t="s">
        <v>53</v>
      </c>
      <c r="E28" s="7">
        <f>SUM(E6:E27)</f>
        <v>89871000</v>
      </c>
      <c r="F28" s="7">
        <f>SUM(F6:F27)</f>
        <v>306234800</v>
      </c>
      <c r="G28" s="7">
        <f>SUM(G6:G27)</f>
        <v>239549434</v>
      </c>
      <c r="H28" s="7">
        <f>SUM(H6:H27)</f>
        <v>635655234</v>
      </c>
      <c r="I28" s="8">
        <f>SUM(I6:I27)</f>
        <v>99.999999999999972</v>
      </c>
      <c r="J28" s="16"/>
    </row>
    <row r="29" spans="2:11" ht="19.95" customHeight="1" x14ac:dyDescent="0.3">
      <c r="B29" s="5"/>
      <c r="C29" s="5"/>
      <c r="D29" s="6" t="s">
        <v>54</v>
      </c>
      <c r="E29" s="9">
        <f>E28/1000000</f>
        <v>89.870999999999995</v>
      </c>
      <c r="F29" s="10">
        <f>F28/1000000</f>
        <v>306.23480000000001</v>
      </c>
      <c r="G29" s="10">
        <f>G28/1000000</f>
        <v>239.54943399999999</v>
      </c>
      <c r="H29" s="10">
        <f>H28/1000000</f>
        <v>635.65523399999995</v>
      </c>
      <c r="I29" s="7"/>
    </row>
  </sheetData>
  <mergeCells count="1">
    <mergeCell ref="B4:I4"/>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DFA215-04C4-473B-8000-D0A7C0B7DD8A}">
  <dimension ref="B2:Q26"/>
  <sheetViews>
    <sheetView topLeftCell="G1" zoomScaleNormal="100" workbookViewId="0">
      <selection activeCell="O5" sqref="O5"/>
    </sheetView>
  </sheetViews>
  <sheetFormatPr defaultColWidth="9.109375" defaultRowHeight="14.4" x14ac:dyDescent="0.3"/>
  <cols>
    <col min="1" max="1" width="9.109375" style="12"/>
    <col min="2" max="2" width="7.109375" style="12" bestFit="1" customWidth="1"/>
    <col min="3" max="3" width="45.44140625" style="12" bestFit="1" customWidth="1"/>
    <col min="4" max="4" width="9.109375" style="12" customWidth="1"/>
    <col min="5" max="5" width="12.44140625" style="12" customWidth="1"/>
    <col min="6" max="6" width="11.6640625" style="12" bestFit="1" customWidth="1"/>
    <col min="7" max="7" width="14.6640625" style="12" customWidth="1"/>
    <col min="8" max="8" width="12.44140625" style="12" bestFit="1" customWidth="1"/>
    <col min="9" max="9" width="12.44140625" style="12" customWidth="1"/>
    <col min="10" max="10" width="11.109375" style="12" bestFit="1" customWidth="1"/>
    <col min="11" max="11" width="14.109375" style="12" bestFit="1" customWidth="1"/>
    <col min="12" max="13" width="14.109375" style="12" customWidth="1"/>
    <col min="14" max="14" width="12.5546875" style="12" bestFit="1" customWidth="1"/>
    <col min="15" max="15" width="18.88671875" style="12" bestFit="1" customWidth="1"/>
    <col min="16" max="16" width="16.5546875" style="12" bestFit="1" customWidth="1"/>
    <col min="17" max="17" width="12" style="12" bestFit="1" customWidth="1"/>
    <col min="18" max="18" width="14.109375" style="12" bestFit="1" customWidth="1"/>
    <col min="19" max="19" width="12.5546875" style="12" bestFit="1" customWidth="1"/>
    <col min="20" max="20" width="10.5546875" style="12" bestFit="1" customWidth="1"/>
    <col min="21" max="21" width="11.109375" style="12" bestFit="1" customWidth="1"/>
    <col min="22" max="22" width="14.88671875" style="12" bestFit="1" customWidth="1"/>
    <col min="23" max="23" width="14.109375" style="12" bestFit="1" customWidth="1"/>
    <col min="24" max="25" width="13.6640625" style="12" bestFit="1" customWidth="1"/>
    <col min="26" max="16384" width="9.109375" style="12"/>
  </cols>
  <sheetData>
    <row r="2" spans="2:17" ht="19.95" customHeight="1" x14ac:dyDescent="0.3">
      <c r="B2" s="492" t="s">
        <v>10</v>
      </c>
      <c r="C2" s="492"/>
      <c r="D2" s="492"/>
      <c r="E2" s="492"/>
      <c r="F2" s="492"/>
      <c r="G2" s="492"/>
      <c r="H2" s="492"/>
      <c r="I2" s="492"/>
      <c r="J2" s="492"/>
      <c r="K2" s="492"/>
      <c r="L2" s="492"/>
      <c r="M2" s="492"/>
      <c r="N2" s="492"/>
      <c r="O2" s="492"/>
      <c r="P2" s="492"/>
      <c r="Q2" s="34"/>
    </row>
    <row r="3" spans="2:17" ht="19.95" customHeight="1" x14ac:dyDescent="0.3">
      <c r="B3" s="493" t="s">
        <v>1</v>
      </c>
      <c r="C3" s="493" t="s">
        <v>55</v>
      </c>
      <c r="D3" s="494" t="s">
        <v>56</v>
      </c>
      <c r="E3" s="495" t="s">
        <v>57</v>
      </c>
      <c r="F3" s="496" t="s">
        <v>58</v>
      </c>
      <c r="G3" s="496"/>
      <c r="H3" s="496"/>
      <c r="I3" s="495" t="s">
        <v>57</v>
      </c>
      <c r="J3" s="496" t="s">
        <v>59</v>
      </c>
      <c r="K3" s="496"/>
      <c r="L3" s="496"/>
      <c r="M3" s="495" t="s">
        <v>57</v>
      </c>
      <c r="N3" s="496" t="s">
        <v>60</v>
      </c>
      <c r="O3" s="496"/>
      <c r="P3" s="496"/>
      <c r="Q3" s="20"/>
    </row>
    <row r="4" spans="2:17" ht="19.95" customHeight="1" x14ac:dyDescent="0.3">
      <c r="B4" s="493"/>
      <c r="C4" s="493"/>
      <c r="D4" s="494"/>
      <c r="E4" s="495"/>
      <c r="F4" s="21" t="s">
        <v>61</v>
      </c>
      <c r="G4" s="21" t="s">
        <v>62</v>
      </c>
      <c r="H4" s="20" t="s">
        <v>7</v>
      </c>
      <c r="I4" s="495"/>
      <c r="J4" s="21" t="s">
        <v>61</v>
      </c>
      <c r="K4" s="20" t="s">
        <v>62</v>
      </c>
      <c r="L4" s="20" t="s">
        <v>7</v>
      </c>
      <c r="M4" s="495"/>
      <c r="N4" s="21" t="s">
        <v>61</v>
      </c>
      <c r="O4" s="20" t="s">
        <v>62</v>
      </c>
      <c r="P4" s="20" t="s">
        <v>7</v>
      </c>
      <c r="Q4" s="20" t="s">
        <v>7</v>
      </c>
    </row>
    <row r="5" spans="2:17" ht="19.95" customHeight="1" x14ac:dyDescent="0.3">
      <c r="B5" s="22">
        <v>1</v>
      </c>
      <c r="C5" s="23" t="s">
        <v>63</v>
      </c>
      <c r="D5" s="22">
        <v>11</v>
      </c>
      <c r="E5" s="24">
        <v>1</v>
      </c>
      <c r="F5" s="25">
        <v>2</v>
      </c>
      <c r="G5" s="26">
        <v>625000</v>
      </c>
      <c r="H5" s="27">
        <f>G5*F5*E5</f>
        <v>1250000</v>
      </c>
      <c r="I5" s="24">
        <f>E5</f>
        <v>1</v>
      </c>
      <c r="J5" s="25">
        <v>12</v>
      </c>
      <c r="K5" s="26">
        <f>G5*1.05</f>
        <v>656250</v>
      </c>
      <c r="L5" s="26">
        <f>K5*J5*I5</f>
        <v>7875000</v>
      </c>
      <c r="M5" s="24">
        <f>I5</f>
        <v>1</v>
      </c>
      <c r="N5" s="25">
        <v>12</v>
      </c>
      <c r="O5" s="27">
        <f>K5*1.05</f>
        <v>689062.5</v>
      </c>
      <c r="P5" s="26">
        <f>O5*N5*M5</f>
        <v>8268750</v>
      </c>
      <c r="Q5" s="27">
        <f>P5+L5+H5</f>
        <v>17393750</v>
      </c>
    </row>
    <row r="6" spans="2:17" ht="19.95" customHeight="1" x14ac:dyDescent="0.3">
      <c r="B6" s="22">
        <v>2</v>
      </c>
      <c r="C6" s="28" t="s">
        <v>64</v>
      </c>
      <c r="D6" s="22">
        <v>10</v>
      </c>
      <c r="E6" s="24">
        <v>2</v>
      </c>
      <c r="F6" s="25">
        <v>2</v>
      </c>
      <c r="G6" s="26">
        <v>550000</v>
      </c>
      <c r="H6" s="27">
        <f>G6*F6*E6</f>
        <v>2200000</v>
      </c>
      <c r="I6" s="24">
        <f t="shared" ref="I6:I24" si="0">E6</f>
        <v>2</v>
      </c>
      <c r="J6" s="25">
        <v>12</v>
      </c>
      <c r="K6" s="26">
        <f>G6*1.05</f>
        <v>577500</v>
      </c>
      <c r="L6" s="26">
        <f>K6*J6*I6</f>
        <v>13860000</v>
      </c>
      <c r="M6" s="24">
        <f t="shared" ref="M6:M24" si="1">I6</f>
        <v>2</v>
      </c>
      <c r="N6" s="25">
        <v>12</v>
      </c>
      <c r="O6" s="27">
        <f>K6*1.05</f>
        <v>606375</v>
      </c>
      <c r="P6" s="26">
        <f>O6*N6*M6</f>
        <v>14553000</v>
      </c>
      <c r="Q6" s="27">
        <f t="shared" ref="Q6:Q24" si="2">P6+L6+H6</f>
        <v>30613000</v>
      </c>
    </row>
    <row r="7" spans="2:17" ht="33.6" customHeight="1" x14ac:dyDescent="0.3">
      <c r="B7" s="22">
        <v>3</v>
      </c>
      <c r="C7" s="23" t="s">
        <v>65</v>
      </c>
      <c r="D7" s="22">
        <v>9</v>
      </c>
      <c r="E7" s="24">
        <v>1</v>
      </c>
      <c r="F7" s="25">
        <v>2</v>
      </c>
      <c r="G7" s="26">
        <v>450000</v>
      </c>
      <c r="H7" s="27">
        <f t="shared" ref="H7:H12" si="3">G7*F7*E7</f>
        <v>900000</v>
      </c>
      <c r="I7" s="24">
        <f t="shared" si="0"/>
        <v>1</v>
      </c>
      <c r="J7" s="25">
        <v>12</v>
      </c>
      <c r="K7" s="26">
        <f>G7*1.08</f>
        <v>486000.00000000006</v>
      </c>
      <c r="L7" s="26">
        <f t="shared" ref="L7:L21" si="4">K7*J7*I7</f>
        <v>5832000.0000000009</v>
      </c>
      <c r="M7" s="24">
        <f t="shared" si="1"/>
        <v>1</v>
      </c>
      <c r="N7" s="25">
        <v>12</v>
      </c>
      <c r="O7" s="27">
        <f t="shared" ref="O7:O24" si="5">K7*1.08</f>
        <v>524880.00000000012</v>
      </c>
      <c r="P7" s="26">
        <f t="shared" ref="P7:P24" si="6">O7*N7*M7</f>
        <v>6298560.0000000019</v>
      </c>
      <c r="Q7" s="27">
        <f t="shared" si="2"/>
        <v>13030560.000000004</v>
      </c>
    </row>
    <row r="8" spans="2:17" ht="19.95" customHeight="1" x14ac:dyDescent="0.3">
      <c r="B8" s="22">
        <v>4</v>
      </c>
      <c r="C8" s="23" t="s">
        <v>66</v>
      </c>
      <c r="D8" s="22">
        <v>7</v>
      </c>
      <c r="E8" s="24">
        <v>1</v>
      </c>
      <c r="F8" s="25">
        <v>2</v>
      </c>
      <c r="G8" s="26">
        <v>200000</v>
      </c>
      <c r="H8" s="27">
        <f>G8*F8*E8</f>
        <v>400000</v>
      </c>
      <c r="I8" s="24">
        <f t="shared" si="0"/>
        <v>1</v>
      </c>
      <c r="J8" s="25">
        <v>12</v>
      </c>
      <c r="K8" s="26">
        <f>G8*1.08</f>
        <v>216000</v>
      </c>
      <c r="L8" s="26">
        <f>K8*J8*I8</f>
        <v>2592000</v>
      </c>
      <c r="M8" s="24">
        <f t="shared" si="1"/>
        <v>1</v>
      </c>
      <c r="N8" s="25">
        <v>12</v>
      </c>
      <c r="O8" s="27">
        <f t="shared" si="5"/>
        <v>233280.00000000003</v>
      </c>
      <c r="P8" s="26">
        <f>O8*N8*M8</f>
        <v>2799360.0000000005</v>
      </c>
      <c r="Q8" s="27">
        <f t="shared" si="2"/>
        <v>5791360</v>
      </c>
    </row>
    <row r="9" spans="2:17" ht="19.95" customHeight="1" x14ac:dyDescent="0.3">
      <c r="B9" s="22">
        <v>5</v>
      </c>
      <c r="C9" s="23" t="s">
        <v>67</v>
      </c>
      <c r="D9" s="22">
        <v>10</v>
      </c>
      <c r="E9" s="24">
        <v>1</v>
      </c>
      <c r="F9" s="25">
        <v>2</v>
      </c>
      <c r="G9" s="26">
        <v>500000</v>
      </c>
      <c r="H9" s="27">
        <f t="shared" si="3"/>
        <v>1000000</v>
      </c>
      <c r="I9" s="24">
        <f t="shared" si="0"/>
        <v>1</v>
      </c>
      <c r="J9" s="25">
        <v>12</v>
      </c>
      <c r="K9" s="26">
        <f>G9*1.05</f>
        <v>525000</v>
      </c>
      <c r="L9" s="26">
        <f t="shared" si="4"/>
        <v>6300000</v>
      </c>
      <c r="M9" s="24">
        <f t="shared" si="1"/>
        <v>1</v>
      </c>
      <c r="N9" s="25">
        <v>12</v>
      </c>
      <c r="O9" s="27">
        <f>K9*1.05</f>
        <v>551250</v>
      </c>
      <c r="P9" s="26">
        <f t="shared" si="6"/>
        <v>6615000</v>
      </c>
      <c r="Q9" s="27">
        <f t="shared" si="2"/>
        <v>13915000</v>
      </c>
    </row>
    <row r="10" spans="2:17" ht="19.95" customHeight="1" x14ac:dyDescent="0.3">
      <c r="B10" s="22">
        <v>6</v>
      </c>
      <c r="C10" s="23" t="s">
        <v>68</v>
      </c>
      <c r="D10" s="22">
        <v>9</v>
      </c>
      <c r="E10" s="24">
        <v>2</v>
      </c>
      <c r="F10" s="25">
        <v>2</v>
      </c>
      <c r="G10" s="26">
        <v>400000</v>
      </c>
      <c r="H10" s="27">
        <f t="shared" si="3"/>
        <v>1600000</v>
      </c>
      <c r="I10" s="24">
        <f t="shared" si="0"/>
        <v>2</v>
      </c>
      <c r="J10" s="25">
        <v>12</v>
      </c>
      <c r="K10" s="26">
        <f t="shared" ref="K10:K22" si="7">G10*1.08</f>
        <v>432000</v>
      </c>
      <c r="L10" s="26">
        <f t="shared" si="4"/>
        <v>10368000</v>
      </c>
      <c r="M10" s="24">
        <f t="shared" si="1"/>
        <v>2</v>
      </c>
      <c r="N10" s="25">
        <v>12</v>
      </c>
      <c r="O10" s="27">
        <f t="shared" si="5"/>
        <v>466560.00000000006</v>
      </c>
      <c r="P10" s="26">
        <f>O10*N10*M10</f>
        <v>11197440.000000002</v>
      </c>
      <c r="Q10" s="27">
        <f t="shared" si="2"/>
        <v>23165440</v>
      </c>
    </row>
    <row r="11" spans="2:17" ht="19.95" customHeight="1" x14ac:dyDescent="0.3">
      <c r="B11" s="22">
        <v>7</v>
      </c>
      <c r="C11" s="23" t="s">
        <v>69</v>
      </c>
      <c r="D11" s="22">
        <v>8</v>
      </c>
      <c r="E11" s="24">
        <v>2</v>
      </c>
      <c r="F11" s="25">
        <v>2</v>
      </c>
      <c r="G11" s="26">
        <v>300000</v>
      </c>
      <c r="H11" s="27">
        <f t="shared" si="3"/>
        <v>1200000</v>
      </c>
      <c r="I11" s="24">
        <f t="shared" si="0"/>
        <v>2</v>
      </c>
      <c r="J11" s="25">
        <v>12</v>
      </c>
      <c r="K11" s="26">
        <f>G11*1.08</f>
        <v>324000</v>
      </c>
      <c r="L11" s="26">
        <f t="shared" si="4"/>
        <v>7776000</v>
      </c>
      <c r="M11" s="24">
        <f t="shared" si="1"/>
        <v>2</v>
      </c>
      <c r="N11" s="25">
        <v>12</v>
      </c>
      <c r="O11" s="27">
        <f t="shared" si="5"/>
        <v>349920</v>
      </c>
      <c r="P11" s="26">
        <f t="shared" si="6"/>
        <v>8398080</v>
      </c>
      <c r="Q11" s="27">
        <f t="shared" si="2"/>
        <v>17374080</v>
      </c>
    </row>
    <row r="12" spans="2:17" ht="19.95" customHeight="1" x14ac:dyDescent="0.3">
      <c r="B12" s="22">
        <v>8</v>
      </c>
      <c r="C12" s="23" t="s">
        <v>70</v>
      </c>
      <c r="D12" s="22">
        <v>10</v>
      </c>
      <c r="E12" s="24">
        <v>1</v>
      </c>
      <c r="F12" s="25">
        <v>2</v>
      </c>
      <c r="G12" s="26">
        <v>500000</v>
      </c>
      <c r="H12" s="27">
        <f t="shared" si="3"/>
        <v>1000000</v>
      </c>
      <c r="I12" s="24">
        <f t="shared" si="0"/>
        <v>1</v>
      </c>
      <c r="J12" s="25">
        <v>12</v>
      </c>
      <c r="K12" s="26">
        <f>G12*1.05</f>
        <v>525000</v>
      </c>
      <c r="L12" s="26">
        <f t="shared" si="4"/>
        <v>6300000</v>
      </c>
      <c r="M12" s="24">
        <f t="shared" si="1"/>
        <v>1</v>
      </c>
      <c r="N12" s="25">
        <v>12</v>
      </c>
      <c r="O12" s="27">
        <f>K12*1.05</f>
        <v>551250</v>
      </c>
      <c r="P12" s="26">
        <f t="shared" si="6"/>
        <v>6615000</v>
      </c>
      <c r="Q12" s="27">
        <f t="shared" si="2"/>
        <v>13915000</v>
      </c>
    </row>
    <row r="13" spans="2:17" ht="19.95" customHeight="1" x14ac:dyDescent="0.3">
      <c r="B13" s="22">
        <v>9</v>
      </c>
      <c r="C13" s="23" t="s">
        <v>71</v>
      </c>
      <c r="D13" s="22">
        <v>9</v>
      </c>
      <c r="E13" s="24">
        <v>1</v>
      </c>
      <c r="F13" s="25">
        <v>2</v>
      </c>
      <c r="G13" s="26">
        <v>400000</v>
      </c>
      <c r="H13" s="27">
        <f>G13*F13*E13</f>
        <v>800000</v>
      </c>
      <c r="I13" s="24">
        <f t="shared" si="0"/>
        <v>1</v>
      </c>
      <c r="J13" s="25">
        <v>12</v>
      </c>
      <c r="K13" s="26">
        <f t="shared" si="7"/>
        <v>432000</v>
      </c>
      <c r="L13" s="26">
        <f>K13*J13*I13</f>
        <v>5184000</v>
      </c>
      <c r="M13" s="24">
        <f t="shared" si="1"/>
        <v>1</v>
      </c>
      <c r="N13" s="25">
        <v>12</v>
      </c>
      <c r="O13" s="27">
        <f t="shared" si="5"/>
        <v>466560.00000000006</v>
      </c>
      <c r="P13" s="26">
        <f>O13*N13*M13</f>
        <v>5598720.0000000009</v>
      </c>
      <c r="Q13" s="27">
        <f t="shared" si="2"/>
        <v>11582720</v>
      </c>
    </row>
    <row r="14" spans="2:17" ht="19.95" customHeight="1" x14ac:dyDescent="0.3">
      <c r="B14" s="22">
        <v>10</v>
      </c>
      <c r="C14" s="23" t="s">
        <v>72</v>
      </c>
      <c r="D14" s="22">
        <v>8</v>
      </c>
      <c r="E14" s="24">
        <v>1</v>
      </c>
      <c r="F14" s="25">
        <v>2</v>
      </c>
      <c r="G14" s="26">
        <v>300000</v>
      </c>
      <c r="H14" s="27">
        <f>G14*F14*E14</f>
        <v>600000</v>
      </c>
      <c r="I14" s="24">
        <f t="shared" si="0"/>
        <v>1</v>
      </c>
      <c r="J14" s="25">
        <v>12</v>
      </c>
      <c r="K14" s="26">
        <f t="shared" si="7"/>
        <v>324000</v>
      </c>
      <c r="L14" s="26">
        <f>K14*J14*I14</f>
        <v>3888000</v>
      </c>
      <c r="M14" s="24">
        <f t="shared" si="1"/>
        <v>1</v>
      </c>
      <c r="N14" s="25">
        <v>12</v>
      </c>
      <c r="O14" s="27">
        <f t="shared" si="5"/>
        <v>349920</v>
      </c>
      <c r="P14" s="26">
        <f>O14*N14*M14</f>
        <v>4199040</v>
      </c>
      <c r="Q14" s="27">
        <f t="shared" si="2"/>
        <v>8687040</v>
      </c>
    </row>
    <row r="15" spans="2:17" ht="19.95" customHeight="1" x14ac:dyDescent="0.3">
      <c r="B15" s="22">
        <v>11</v>
      </c>
      <c r="C15" s="23" t="s">
        <v>73</v>
      </c>
      <c r="D15" s="22">
        <v>8</v>
      </c>
      <c r="E15" s="24">
        <v>2</v>
      </c>
      <c r="F15" s="25">
        <v>2</v>
      </c>
      <c r="G15" s="26">
        <v>300000</v>
      </c>
      <c r="H15" s="27">
        <f>G15*F15*E15</f>
        <v>1200000</v>
      </c>
      <c r="I15" s="24">
        <f t="shared" si="0"/>
        <v>2</v>
      </c>
      <c r="J15" s="25">
        <v>12</v>
      </c>
      <c r="K15" s="26">
        <f t="shared" si="7"/>
        <v>324000</v>
      </c>
      <c r="L15" s="26">
        <f t="shared" si="4"/>
        <v>7776000</v>
      </c>
      <c r="M15" s="24">
        <f t="shared" si="1"/>
        <v>2</v>
      </c>
      <c r="N15" s="25">
        <v>12</v>
      </c>
      <c r="O15" s="27">
        <f t="shared" si="5"/>
        <v>349920</v>
      </c>
      <c r="P15" s="26">
        <f t="shared" si="6"/>
        <v>8398080</v>
      </c>
      <c r="Q15" s="27">
        <f t="shared" si="2"/>
        <v>17374080</v>
      </c>
    </row>
    <row r="16" spans="2:17" ht="19.95" customHeight="1" x14ac:dyDescent="0.3">
      <c r="B16" s="22">
        <v>12</v>
      </c>
      <c r="C16" s="23" t="s">
        <v>74</v>
      </c>
      <c r="D16" s="22">
        <v>8</v>
      </c>
      <c r="E16" s="24">
        <v>1</v>
      </c>
      <c r="F16" s="25">
        <v>2</v>
      </c>
      <c r="G16" s="26">
        <v>300000</v>
      </c>
      <c r="H16" s="27">
        <f>G16*F16*E16</f>
        <v>600000</v>
      </c>
      <c r="I16" s="24">
        <f t="shared" si="0"/>
        <v>1</v>
      </c>
      <c r="J16" s="25">
        <v>12</v>
      </c>
      <c r="K16" s="26">
        <f t="shared" si="7"/>
        <v>324000</v>
      </c>
      <c r="L16" s="26">
        <f>K16*J16*I16</f>
        <v>3888000</v>
      </c>
      <c r="M16" s="24">
        <f t="shared" si="1"/>
        <v>1</v>
      </c>
      <c r="N16" s="25">
        <v>12</v>
      </c>
      <c r="O16" s="27">
        <f t="shared" si="5"/>
        <v>349920</v>
      </c>
      <c r="P16" s="26">
        <f>O16*N16*M16</f>
        <v>4199040</v>
      </c>
      <c r="Q16" s="27">
        <f t="shared" si="2"/>
        <v>8687040</v>
      </c>
    </row>
    <row r="17" spans="2:17" ht="19.95" customHeight="1" x14ac:dyDescent="0.3">
      <c r="B17" s="22">
        <v>13</v>
      </c>
      <c r="C17" s="23" t="s">
        <v>75</v>
      </c>
      <c r="D17" s="22">
        <v>9</v>
      </c>
      <c r="E17" s="24">
        <v>1</v>
      </c>
      <c r="F17" s="25">
        <v>2</v>
      </c>
      <c r="G17" s="26">
        <v>450000</v>
      </c>
      <c r="H17" s="27">
        <f t="shared" ref="H17:H24" si="8">G17*F17*E17</f>
        <v>900000</v>
      </c>
      <c r="I17" s="24">
        <f t="shared" si="0"/>
        <v>1</v>
      </c>
      <c r="J17" s="25">
        <v>12</v>
      </c>
      <c r="K17" s="26">
        <f>G17*1.05</f>
        <v>472500</v>
      </c>
      <c r="L17" s="26">
        <f t="shared" si="4"/>
        <v>5670000</v>
      </c>
      <c r="M17" s="24">
        <f t="shared" si="1"/>
        <v>1</v>
      </c>
      <c r="N17" s="25">
        <v>12</v>
      </c>
      <c r="O17" s="27">
        <f>K17*1.05</f>
        <v>496125</v>
      </c>
      <c r="P17" s="26">
        <f t="shared" si="6"/>
        <v>5953500</v>
      </c>
      <c r="Q17" s="27">
        <f t="shared" si="2"/>
        <v>12523500</v>
      </c>
    </row>
    <row r="18" spans="2:17" ht="19.95" customHeight="1" x14ac:dyDescent="0.3">
      <c r="B18" s="22">
        <v>14</v>
      </c>
      <c r="C18" s="23" t="s">
        <v>76</v>
      </c>
      <c r="D18" s="22">
        <v>9</v>
      </c>
      <c r="E18" s="24">
        <v>1</v>
      </c>
      <c r="F18" s="25">
        <v>2</v>
      </c>
      <c r="G18" s="26">
        <v>450000</v>
      </c>
      <c r="H18" s="27">
        <f t="shared" si="8"/>
        <v>900000</v>
      </c>
      <c r="I18" s="24">
        <f t="shared" si="0"/>
        <v>1</v>
      </c>
      <c r="J18" s="25">
        <v>12</v>
      </c>
      <c r="K18" s="26">
        <f t="shared" si="7"/>
        <v>486000.00000000006</v>
      </c>
      <c r="L18" s="26">
        <f t="shared" si="4"/>
        <v>5832000.0000000009</v>
      </c>
      <c r="M18" s="24">
        <f t="shared" si="1"/>
        <v>1</v>
      </c>
      <c r="N18" s="25">
        <v>12</v>
      </c>
      <c r="O18" s="27">
        <f t="shared" si="5"/>
        <v>524880.00000000012</v>
      </c>
      <c r="P18" s="26">
        <f t="shared" si="6"/>
        <v>6298560.0000000019</v>
      </c>
      <c r="Q18" s="27">
        <f t="shared" si="2"/>
        <v>13030560.000000004</v>
      </c>
    </row>
    <row r="19" spans="2:17" ht="19.95" customHeight="1" x14ac:dyDescent="0.3">
      <c r="B19" s="22">
        <v>15</v>
      </c>
      <c r="C19" s="23" t="s">
        <v>77</v>
      </c>
      <c r="D19" s="22">
        <v>8</v>
      </c>
      <c r="E19" s="24">
        <v>2</v>
      </c>
      <c r="F19" s="25">
        <v>2</v>
      </c>
      <c r="G19" s="26">
        <v>350000</v>
      </c>
      <c r="H19" s="27">
        <f t="shared" si="8"/>
        <v>1400000</v>
      </c>
      <c r="I19" s="24">
        <f t="shared" si="0"/>
        <v>2</v>
      </c>
      <c r="J19" s="25">
        <v>12</v>
      </c>
      <c r="K19" s="26">
        <f t="shared" si="7"/>
        <v>378000</v>
      </c>
      <c r="L19" s="26">
        <f t="shared" si="4"/>
        <v>9072000</v>
      </c>
      <c r="M19" s="24">
        <f t="shared" si="1"/>
        <v>2</v>
      </c>
      <c r="N19" s="25">
        <v>12</v>
      </c>
      <c r="O19" s="27">
        <f t="shared" si="5"/>
        <v>408240</v>
      </c>
      <c r="P19" s="26">
        <f t="shared" si="6"/>
        <v>9797760</v>
      </c>
      <c r="Q19" s="27">
        <f t="shared" si="2"/>
        <v>20269760</v>
      </c>
    </row>
    <row r="20" spans="2:17" ht="19.95" customHeight="1" x14ac:dyDescent="0.3">
      <c r="B20" s="22">
        <v>16</v>
      </c>
      <c r="C20" s="23" t="s">
        <v>78</v>
      </c>
      <c r="D20" s="22">
        <v>8</v>
      </c>
      <c r="E20" s="24">
        <v>1</v>
      </c>
      <c r="F20" s="25">
        <v>2</v>
      </c>
      <c r="G20" s="26">
        <v>300000</v>
      </c>
      <c r="H20" s="27">
        <f t="shared" si="8"/>
        <v>600000</v>
      </c>
      <c r="I20" s="24">
        <f t="shared" si="0"/>
        <v>1</v>
      </c>
      <c r="J20" s="25">
        <v>12</v>
      </c>
      <c r="K20" s="26">
        <f t="shared" si="7"/>
        <v>324000</v>
      </c>
      <c r="L20" s="26">
        <f t="shared" si="4"/>
        <v>3888000</v>
      </c>
      <c r="M20" s="24">
        <f t="shared" si="1"/>
        <v>1</v>
      </c>
      <c r="N20" s="25">
        <v>12</v>
      </c>
      <c r="O20" s="27">
        <f t="shared" si="5"/>
        <v>349920</v>
      </c>
      <c r="P20" s="26">
        <f t="shared" si="6"/>
        <v>4199040</v>
      </c>
      <c r="Q20" s="27">
        <f t="shared" si="2"/>
        <v>8687040</v>
      </c>
    </row>
    <row r="21" spans="2:17" ht="19.95" customHeight="1" x14ac:dyDescent="0.3">
      <c r="B21" s="22">
        <v>17</v>
      </c>
      <c r="C21" s="23" t="s">
        <v>79</v>
      </c>
      <c r="D21" s="22">
        <v>8</v>
      </c>
      <c r="E21" s="24">
        <v>1</v>
      </c>
      <c r="F21" s="25">
        <v>2</v>
      </c>
      <c r="G21" s="26">
        <v>300000</v>
      </c>
      <c r="H21" s="27">
        <f t="shared" si="8"/>
        <v>600000</v>
      </c>
      <c r="I21" s="24">
        <f t="shared" si="0"/>
        <v>1</v>
      </c>
      <c r="J21" s="25">
        <v>12</v>
      </c>
      <c r="K21" s="26">
        <f t="shared" si="7"/>
        <v>324000</v>
      </c>
      <c r="L21" s="26">
        <f t="shared" si="4"/>
        <v>3888000</v>
      </c>
      <c r="M21" s="24">
        <f t="shared" si="1"/>
        <v>1</v>
      </c>
      <c r="N21" s="25">
        <v>12</v>
      </c>
      <c r="O21" s="27">
        <f t="shared" si="5"/>
        <v>349920</v>
      </c>
      <c r="P21" s="26">
        <f t="shared" si="6"/>
        <v>4199040</v>
      </c>
      <c r="Q21" s="27">
        <f t="shared" si="2"/>
        <v>8687040</v>
      </c>
    </row>
    <row r="22" spans="2:17" ht="19.95" customHeight="1" x14ac:dyDescent="0.3">
      <c r="B22" s="22">
        <v>18</v>
      </c>
      <c r="C22" s="23" t="s">
        <v>80</v>
      </c>
      <c r="D22" s="22">
        <v>9</v>
      </c>
      <c r="E22" s="24">
        <v>1</v>
      </c>
      <c r="F22" s="25">
        <v>2</v>
      </c>
      <c r="G22" s="26">
        <v>400000</v>
      </c>
      <c r="H22" s="27">
        <f t="shared" si="8"/>
        <v>800000</v>
      </c>
      <c r="I22" s="24">
        <f t="shared" si="0"/>
        <v>1</v>
      </c>
      <c r="J22" s="25">
        <v>12</v>
      </c>
      <c r="K22" s="26">
        <f t="shared" si="7"/>
        <v>432000</v>
      </c>
      <c r="L22" s="26">
        <f>K22*J22*I22</f>
        <v>5184000</v>
      </c>
      <c r="M22" s="24">
        <f t="shared" si="1"/>
        <v>1</v>
      </c>
      <c r="N22" s="25">
        <v>12</v>
      </c>
      <c r="O22" s="27">
        <f t="shared" si="5"/>
        <v>466560.00000000006</v>
      </c>
      <c r="P22" s="26">
        <f t="shared" si="6"/>
        <v>5598720.0000000009</v>
      </c>
      <c r="Q22" s="27">
        <f t="shared" si="2"/>
        <v>11582720</v>
      </c>
    </row>
    <row r="23" spans="2:17" ht="19.95" customHeight="1" x14ac:dyDescent="0.3">
      <c r="B23" s="22">
        <v>19</v>
      </c>
      <c r="C23" s="23" t="s">
        <v>81</v>
      </c>
      <c r="D23" s="22">
        <v>10</v>
      </c>
      <c r="E23" s="24">
        <v>1</v>
      </c>
      <c r="F23" s="25">
        <v>2</v>
      </c>
      <c r="G23" s="26">
        <v>500000</v>
      </c>
      <c r="H23" s="27">
        <f>G23*F23*E23</f>
        <v>1000000</v>
      </c>
      <c r="I23" s="24">
        <f t="shared" si="0"/>
        <v>1</v>
      </c>
      <c r="J23" s="25">
        <v>12</v>
      </c>
      <c r="K23" s="26">
        <f>G23*1.05</f>
        <v>525000</v>
      </c>
      <c r="L23" s="26">
        <f>K23*J23*I23</f>
        <v>6300000</v>
      </c>
      <c r="M23" s="24">
        <f t="shared" si="1"/>
        <v>1</v>
      </c>
      <c r="N23" s="25">
        <v>12</v>
      </c>
      <c r="O23" s="27">
        <f>K23*1.05</f>
        <v>551250</v>
      </c>
      <c r="P23" s="26">
        <f>O23*N23*M23</f>
        <v>6615000</v>
      </c>
      <c r="Q23" s="27">
        <f t="shared" si="2"/>
        <v>13915000</v>
      </c>
    </row>
    <row r="24" spans="2:17" ht="19.95" customHeight="1" x14ac:dyDescent="0.3">
      <c r="B24" s="22">
        <v>20</v>
      </c>
      <c r="C24" s="23" t="s">
        <v>82</v>
      </c>
      <c r="D24" s="22">
        <v>5</v>
      </c>
      <c r="E24" s="24">
        <v>1</v>
      </c>
      <c r="F24" s="25">
        <v>2</v>
      </c>
      <c r="G24" s="26">
        <v>80000</v>
      </c>
      <c r="H24" s="27">
        <f t="shared" si="8"/>
        <v>160000</v>
      </c>
      <c r="I24" s="24">
        <f t="shared" si="0"/>
        <v>1</v>
      </c>
      <c r="J24" s="25">
        <v>12</v>
      </c>
      <c r="K24" s="26">
        <f>G24*1.08</f>
        <v>86400</v>
      </c>
      <c r="L24" s="26">
        <f>K24*J24*I24</f>
        <v>1036800</v>
      </c>
      <c r="M24" s="24">
        <f t="shared" si="1"/>
        <v>1</v>
      </c>
      <c r="N24" s="25">
        <v>12</v>
      </c>
      <c r="O24" s="27">
        <f t="shared" si="5"/>
        <v>93312</v>
      </c>
      <c r="P24" s="26">
        <f t="shared" si="6"/>
        <v>1119744</v>
      </c>
      <c r="Q24" s="27">
        <f t="shared" si="2"/>
        <v>2316544</v>
      </c>
    </row>
    <row r="25" spans="2:17" ht="19.95" customHeight="1" x14ac:dyDescent="0.3">
      <c r="B25" s="29"/>
      <c r="C25" s="30" t="s">
        <v>7</v>
      </c>
      <c r="D25" s="31"/>
      <c r="E25" s="20">
        <f>SUM(E5:E24)</f>
        <v>25</v>
      </c>
      <c r="F25" s="31"/>
      <c r="G25" s="31"/>
      <c r="H25" s="32">
        <f>SUM(H5:H24)</f>
        <v>19110000</v>
      </c>
      <c r="I25" s="20">
        <f>SUM(I5:I24)</f>
        <v>25</v>
      </c>
      <c r="J25" s="31"/>
      <c r="K25" s="31"/>
      <c r="L25" s="32">
        <f>SUM(L5:L24)</f>
        <v>122509800</v>
      </c>
      <c r="M25" s="20">
        <f>SUM(M5:M24)</f>
        <v>25</v>
      </c>
      <c r="N25" s="31"/>
      <c r="O25" s="32"/>
      <c r="P25" s="33">
        <f>SUM(P5:P24)</f>
        <v>130921434</v>
      </c>
      <c r="Q25" s="27">
        <f>SUM(Q5:Q24)</f>
        <v>272541234</v>
      </c>
    </row>
    <row r="26" spans="2:17" ht="19.95" customHeight="1" x14ac:dyDescent="0.3">
      <c r="B26" s="491" t="s">
        <v>83</v>
      </c>
      <c r="C26" s="491"/>
      <c r="D26" s="491"/>
      <c r="E26" s="491"/>
      <c r="F26" s="491"/>
      <c r="G26" s="491"/>
      <c r="H26" s="491"/>
      <c r="I26" s="491"/>
      <c r="J26" s="491"/>
      <c r="K26" s="491"/>
      <c r="L26" s="491"/>
      <c r="M26" s="491"/>
      <c r="N26" s="491"/>
      <c r="O26" s="491"/>
      <c r="P26" s="491"/>
      <c r="Q26" s="34"/>
    </row>
  </sheetData>
  <mergeCells count="11">
    <mergeCell ref="B26:P26"/>
    <mergeCell ref="B2:P2"/>
    <mergeCell ref="B3:B4"/>
    <mergeCell ref="C3:C4"/>
    <mergeCell ref="D3:D4"/>
    <mergeCell ref="E3:E4"/>
    <mergeCell ref="F3:H3"/>
    <mergeCell ref="I3:I4"/>
    <mergeCell ref="J3:L3"/>
    <mergeCell ref="M3:M4"/>
    <mergeCell ref="N3:P3"/>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2</vt:i4>
      </vt:variant>
    </vt:vector>
  </HeadingPairs>
  <TitlesOfParts>
    <vt:vector size="16" baseType="lpstr">
      <vt:lpstr>Overall</vt:lpstr>
      <vt:lpstr>SMDB</vt:lpstr>
      <vt:lpstr>District Administration</vt:lpstr>
      <vt:lpstr>ISU</vt:lpstr>
      <vt:lpstr>ISU-HR</vt:lpstr>
      <vt:lpstr>PSPA</vt:lpstr>
      <vt:lpstr>HR PSPA</vt:lpstr>
      <vt:lpstr>PITB_1</vt:lpstr>
      <vt:lpstr>PITB_HR</vt:lpstr>
      <vt:lpstr>PITB_Other</vt:lpstr>
      <vt:lpstr>Urban Unit</vt:lpstr>
      <vt:lpstr>BOS_SR</vt:lpstr>
      <vt:lpstr>BOS</vt:lpstr>
      <vt:lpstr>Sheet1</vt:lpstr>
      <vt:lpstr>BOS!Print_Area</vt:lpstr>
      <vt:lpstr>BOS!Print_Titles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2025-03-10T06:09:25Z</dcterms:created>
  <dcterms:modified xsi:type="dcterms:W3CDTF">2025-03-11T08:32:32Z</dcterms:modified>
</cp:coreProperties>
</file>